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2384" windowHeight="9312" tabRatio="672" activeTab="0"/>
  </bookViews>
  <sheets>
    <sheet name="Product Info" sheetId="1" r:id="rId1"/>
    <sheet name="PHY" sheetId="2" r:id="rId2"/>
    <sheet name="TXRX" sheetId="3" r:id="rId3"/>
    <sheet name="Digital" sheetId="4" r:id="rId4"/>
    <sheet name="System Interop" sheetId="5" r:id="rId5"/>
    <sheet name="Mechanical_25" sheetId="6" r:id="rId6"/>
    <sheet name="Mechanical_35" sheetId="7" r:id="rId7"/>
    <sheet name="Mechanical_525" sheetId="8" r:id="rId8"/>
    <sheet name="Mechanical_slim" sheetId="9" r:id="rId9"/>
    <sheet name="Host_Internal" sheetId="10" r:id="rId10"/>
    <sheet name="Host_Backplane" sheetId="11" r:id="rId11"/>
    <sheet name="Notes" sheetId="12" r:id="rId12"/>
  </sheets>
  <definedNames>
    <definedName name="end_type" localSheetId="0">'Product Info'!$A$201:$A$203</definedName>
    <definedName name="end_type">#REF!</definedName>
    <definedName name="pass_fail" localSheetId="3">'Digital'!$E$7:$E$8</definedName>
    <definedName name="pass_fail">'PHY'!$J$77:$J$80</definedName>
    <definedName name="pass_fail_na">'Digital'!$E$7:$E$10</definedName>
    <definedName name="_xlnm.Print_Area" localSheetId="6">'Mechanical_35'!$A$1:$I$20</definedName>
    <definedName name="_xlnm.Print_Area" localSheetId="7">'Mechanical_525'!$A$1:$L$18</definedName>
    <definedName name="_xlnm.Print_Area" localSheetId="8">'Mechanical_slim'!$A$1:$L$18</definedName>
    <definedName name="_xlnm.Print_Titles" localSheetId="5">'Mechanical_25'!$A:$E,'Mechanical_25'!$1:$6</definedName>
    <definedName name="_xlnm.Print_Titles" localSheetId="6">'Mechanical_35'!$A:$E,'Mechanical_35'!$1:$6</definedName>
    <definedName name="_xlnm.Print_Titles" localSheetId="7">'Mechanical_525'!$A:$G,'Mechanical_525'!$1:$6</definedName>
    <definedName name="_xlnm.Print_Titles" localSheetId="8">'Mechanical_slim'!$A:$G,'Mechanical_slim'!$1:$6</definedName>
    <definedName name="_xlnm.Print_Titles" localSheetId="1">'PHY'!$A:$I,'PHY'!$1:$7</definedName>
    <definedName name="_xlnm.Print_Titles" localSheetId="4">'System Interop'!$A:$B,'System Interop'!$1:$14</definedName>
    <definedName name="_xlnm.Print_Titles" localSheetId="2">'TXRX'!$A:$G,'TXRX'!$1:$7</definedName>
    <definedName name="product_types" localSheetId="0">'Product Info'!$A$191:$A$198</definedName>
    <definedName name="product_types">#REF!</definedName>
    <definedName name="test_labs" localSheetId="0">'Product Info'!$A$177:$A$182</definedName>
    <definedName name="test_labs">#REF!</definedName>
    <definedName name="y_n" localSheetId="0">'Product Info'!$A$185:$A$188</definedName>
    <definedName name="y_n">#REF!</definedName>
    <definedName name="Z_E090FF10_DA52_439A_95DE_C1C05777392C_.wvu.Cols" localSheetId="3" hidden="1">'Digital'!$E:$E</definedName>
    <definedName name="Z_E090FF10_DA52_439A_95DE_C1C05777392C_.wvu.Cols" localSheetId="5" hidden="1">'Mechanical_25'!$F:$F</definedName>
    <definedName name="Z_E090FF10_DA52_439A_95DE_C1C05777392C_.wvu.Cols" localSheetId="6" hidden="1">'Mechanical_35'!$F:$F</definedName>
    <definedName name="Z_E090FF10_DA52_439A_95DE_C1C05777392C_.wvu.Cols" localSheetId="7" hidden="1">'Mechanical_525'!$H:$H</definedName>
    <definedName name="Z_E090FF10_DA52_439A_95DE_C1C05777392C_.wvu.Cols" localSheetId="8" hidden="1">'Mechanical_slim'!$H:$H</definedName>
    <definedName name="Z_E090FF10_DA52_439A_95DE_C1C05777392C_.wvu.Cols" localSheetId="1" hidden="1">'PHY'!$J:$J</definedName>
    <definedName name="Z_E090FF10_DA52_439A_95DE_C1C05777392C_.wvu.Cols" localSheetId="2" hidden="1">'TXRX'!$H:$H</definedName>
    <definedName name="Z_E090FF10_DA52_439A_95DE_C1C05777392C_.wvu.FilterData" localSheetId="0" hidden="1">'Product Info'!$J$12:$J$31</definedName>
    <definedName name="Z_E090FF10_DA52_439A_95DE_C1C05777392C_.wvu.PrintArea" localSheetId="6" hidden="1">'Mechanical_35'!$A$1:$I$20</definedName>
    <definedName name="Z_E090FF10_DA52_439A_95DE_C1C05777392C_.wvu.PrintArea" localSheetId="7" hidden="1">'Mechanical_525'!$A$1:$L$18</definedName>
    <definedName name="Z_E090FF10_DA52_439A_95DE_C1C05777392C_.wvu.PrintArea" localSheetId="8" hidden="1">'Mechanical_slim'!$A$1:$L$18</definedName>
    <definedName name="Z_E090FF10_DA52_439A_95DE_C1C05777392C_.wvu.PrintTitles" localSheetId="5" hidden="1">'Mechanical_25'!$A:$E,'Mechanical_25'!$1:$6</definedName>
    <definedName name="Z_E090FF10_DA52_439A_95DE_C1C05777392C_.wvu.PrintTitles" localSheetId="6" hidden="1">'Mechanical_35'!$A:$E,'Mechanical_35'!$1:$6</definedName>
    <definedName name="Z_E090FF10_DA52_439A_95DE_C1C05777392C_.wvu.PrintTitles" localSheetId="7" hidden="1">'Mechanical_525'!$A:$G,'Mechanical_525'!$1:$6</definedName>
    <definedName name="Z_E090FF10_DA52_439A_95DE_C1C05777392C_.wvu.PrintTitles" localSheetId="8" hidden="1">'Mechanical_slim'!$A:$G,'Mechanical_slim'!$1:$6</definedName>
    <definedName name="Z_E090FF10_DA52_439A_95DE_C1C05777392C_.wvu.PrintTitles" localSheetId="1" hidden="1">'PHY'!$A:$I,'PHY'!$1:$7</definedName>
    <definedName name="Z_E090FF10_DA52_439A_95DE_C1C05777392C_.wvu.PrintTitles" localSheetId="4" hidden="1">'System Interop'!$A:$B,'System Interop'!$1:$14</definedName>
    <definedName name="Z_E090FF10_DA52_439A_95DE_C1C05777392C_.wvu.PrintTitles" localSheetId="2" hidden="1">'TXRX'!$A:$G,'TXRX'!$1:$7</definedName>
    <definedName name="Z_E090FF10_DA52_439A_95DE_C1C05777392C_.wvu.Rows" localSheetId="0" hidden="1">'Product Info'!$175:$204</definedName>
  </definedNames>
  <calcPr fullCalcOnLoad="1"/>
</workbook>
</file>

<file path=xl/comments2.xml><?xml version="1.0" encoding="utf-8"?>
<comments xmlns="http://schemas.openxmlformats.org/spreadsheetml/2006/main">
  <authors>
    <author>Jeff Wolford</author>
  </authors>
  <commentList>
    <comment ref="I45" authorId="0">
      <text>
        <r>
          <rPr>
            <b/>
            <sz val="8"/>
            <rFont val="Tahoma"/>
            <family val="0"/>
          </rPr>
          <t xml:space="preserve">Jeff Wolford: TSG-07 - </t>
        </r>
        <r>
          <rPr>
            <sz val="8"/>
            <rFont val="Tahoma"/>
            <family val="2"/>
          </rPr>
          <t xml:space="preserve"> Was 0.355 for data to data, now 0.30 for clock to data</t>
        </r>
      </text>
    </comment>
    <comment ref="I48" authorId="0">
      <text>
        <r>
          <rPr>
            <b/>
            <sz val="8"/>
            <rFont val="Tahoma"/>
            <family val="0"/>
          </rPr>
          <t xml:space="preserve">Jeff Wolford: TSG-08 - </t>
        </r>
        <r>
          <rPr>
            <sz val="8"/>
            <rFont val="Tahoma"/>
            <family val="2"/>
          </rPr>
          <t>Was 0.175 for data to data, now 0.17 for clock to data</t>
        </r>
      </text>
    </comment>
    <comment ref="I51" authorId="0">
      <text>
        <r>
          <rPr>
            <b/>
            <sz val="8"/>
            <rFont val="Tahoma"/>
            <family val="0"/>
          </rPr>
          <t xml:space="preserve">Jeff Wolford: </t>
        </r>
        <r>
          <rPr>
            <sz val="8"/>
            <rFont val="Tahoma"/>
            <family val="2"/>
          </rPr>
          <t>TSG-09 limit wa</t>
        </r>
        <r>
          <rPr>
            <sz val="8"/>
            <rFont val="Tahoma"/>
            <family val="0"/>
          </rPr>
          <t>s: 0.47 now 0.37</t>
        </r>
      </text>
    </comment>
    <comment ref="I54" authorId="0">
      <text>
        <r>
          <rPr>
            <b/>
            <sz val="8"/>
            <rFont val="Tahoma"/>
            <family val="0"/>
          </rPr>
          <t xml:space="preserve">Jeff Wolford: </t>
        </r>
        <r>
          <rPr>
            <sz val="8"/>
            <rFont val="Tahoma"/>
            <family val="0"/>
          </rPr>
          <t>TSG-10 limit was 0.22 now is 0.19</t>
        </r>
      </text>
    </comment>
  </commentList>
</comments>
</file>

<file path=xl/comments4.xml><?xml version="1.0" encoding="utf-8"?>
<comments xmlns="http://schemas.openxmlformats.org/spreadsheetml/2006/main">
  <authors>
    <author>bdees</author>
  </authors>
  <commentList>
    <comment ref="C18" authorId="0">
      <text>
        <r>
          <rPr>
            <b/>
            <sz val="8"/>
            <rFont val="Tahoma"/>
            <family val="0"/>
          </rPr>
          <t>bdees:</t>
        </r>
        <r>
          <rPr>
            <sz val="8"/>
            <rFont val="Tahoma"/>
            <family val="0"/>
          </rPr>
          <t xml:space="preserve">
9.997ms for LeCroy</t>
        </r>
      </text>
    </comment>
    <comment ref="C19" authorId="0">
      <text>
        <r>
          <rPr>
            <b/>
            <sz val="8"/>
            <rFont val="Tahoma"/>
            <family val="0"/>
          </rPr>
          <t>bdees:</t>
        </r>
        <r>
          <rPr>
            <sz val="8"/>
            <rFont val="Tahoma"/>
            <family val="0"/>
          </rPr>
          <t xml:space="preserve">
9.997ms for LeCroy</t>
        </r>
      </text>
    </comment>
    <comment ref="D17" authorId="0">
      <text>
        <r>
          <rPr>
            <b/>
            <sz val="8"/>
            <rFont val="Tahoma"/>
            <family val="0"/>
          </rPr>
          <t>bdees:</t>
        </r>
        <r>
          <rPr>
            <sz val="8"/>
            <rFont val="Tahoma"/>
            <family val="0"/>
          </rPr>
          <t xml:space="preserve">
10.003ms for LeCroy</t>
        </r>
      </text>
    </comment>
    <comment ref="D31" authorId="0">
      <text>
        <r>
          <rPr>
            <b/>
            <sz val="8"/>
            <rFont val="Tahoma"/>
            <family val="0"/>
          </rPr>
          <t>bdees:</t>
        </r>
        <r>
          <rPr>
            <sz val="8"/>
            <rFont val="Tahoma"/>
            <family val="0"/>
          </rPr>
          <t xml:space="preserve">
11.21usec for LeCroy</t>
        </r>
      </text>
    </comment>
    <comment ref="D32" authorId="0">
      <text>
        <r>
          <rPr>
            <b/>
            <sz val="8"/>
            <rFont val="Tahoma"/>
            <family val="0"/>
          </rPr>
          <t>bdees:</t>
        </r>
        <r>
          <rPr>
            <sz val="8"/>
            <rFont val="Tahoma"/>
            <family val="0"/>
          </rPr>
          <t xml:space="preserve">
10.002ms for LeCroy</t>
        </r>
      </text>
    </comment>
    <comment ref="D39" authorId="0">
      <text>
        <r>
          <rPr>
            <b/>
            <sz val="8"/>
            <rFont val="Tahoma"/>
            <family val="0"/>
          </rPr>
          <t>bdees:</t>
        </r>
        <r>
          <rPr>
            <sz val="8"/>
            <rFont val="Tahoma"/>
            <family val="0"/>
          </rPr>
          <t xml:space="preserve">
11.21usec for LeCroy</t>
        </r>
      </text>
    </comment>
    <comment ref="D40" authorId="0">
      <text>
        <r>
          <rPr>
            <b/>
            <sz val="8"/>
            <rFont val="Tahoma"/>
            <family val="0"/>
          </rPr>
          <t>bdees:</t>
        </r>
        <r>
          <rPr>
            <sz val="8"/>
            <rFont val="Tahoma"/>
            <family val="0"/>
          </rPr>
          <t xml:space="preserve">
10.002ms for LeCroy</t>
        </r>
      </text>
    </comment>
  </commentList>
</comments>
</file>

<file path=xl/comments6.xml><?xml version="1.0" encoding="utf-8"?>
<comments xmlns="http://schemas.openxmlformats.org/spreadsheetml/2006/main">
  <authors>
    <author>bdees</author>
  </authors>
  <commentList>
    <comment ref="C13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4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5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6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7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8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9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20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</commentList>
</comments>
</file>

<file path=xl/comments7.xml><?xml version="1.0" encoding="utf-8"?>
<comments xmlns="http://schemas.openxmlformats.org/spreadsheetml/2006/main">
  <authors>
    <author>bdees</author>
  </authors>
  <commentList>
    <comment ref="C13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4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5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6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7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8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9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20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</commentList>
</comments>
</file>

<file path=xl/comments8.xml><?xml version="1.0" encoding="utf-8"?>
<comments xmlns="http://schemas.openxmlformats.org/spreadsheetml/2006/main">
  <authors>
    <author>bdees</author>
  </authors>
  <commentList>
    <comment ref="C12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3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4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5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6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7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8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</commentList>
</comments>
</file>

<file path=xl/comments9.xml><?xml version="1.0" encoding="utf-8"?>
<comments xmlns="http://schemas.openxmlformats.org/spreadsheetml/2006/main">
  <authors>
    <author>bdees</author>
  </authors>
  <commentList>
    <comment ref="C12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3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4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5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6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7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  <comment ref="C18" authorId="0">
      <text>
        <r>
          <rPr>
            <b/>
            <sz val="8"/>
            <rFont val="Tahoma"/>
            <family val="2"/>
          </rPr>
          <t>bdees:</t>
        </r>
        <r>
          <rPr>
            <sz val="8"/>
            <rFont val="Tahoma"/>
            <family val="2"/>
          </rPr>
          <t xml:space="preserve">
If go/no-go gauge MOI is used, these results could be reported as YES/NO.</t>
        </r>
      </text>
    </comment>
  </commentList>
</comments>
</file>

<file path=xl/sharedStrings.xml><?xml version="1.0" encoding="utf-8"?>
<sst xmlns="http://schemas.openxmlformats.org/spreadsheetml/2006/main" count="1514" uniqueCount="673">
  <si>
    <t>Does your product support (Y/N):</t>
  </si>
  <si>
    <t>Are there any restrictions on 64-bit patterns which are supported by your product?</t>
  </si>
  <si>
    <t>Do you have a vendor unique method for transmitting patterns or initiating BIST modes (Y/N)?</t>
  </si>
  <si>
    <t>NOTE : each chip will require a separate registration/timeslot.</t>
  </si>
  <si>
    <t>Are there any special requirements on power-on to ensure all ports are enabled?</t>
  </si>
  <si>
    <t>Nothing… just power on the system (Y/N)?</t>
  </si>
  <si>
    <t>Vendor unique?  (provide description in comment space below)</t>
  </si>
  <si>
    <t>Once a port is enabled, with no device attached:</t>
  </si>
  <si>
    <t>Does it periodically send out COMRESETs (Y/N)?</t>
  </si>
  <si>
    <t>If so, how often?</t>
  </si>
  <si>
    <t>Is there any other host generated traffic on an enabled, but unconnected port (Y/N)?</t>
  </si>
  <si>
    <t>Once the device is disconnected from a host:</t>
  </si>
  <si>
    <t>Does it periodically send out unsolicited COMINITs?</t>
  </si>
  <si>
    <t>Is there any other device generated traffic once disconnected (Y/N)?</t>
  </si>
  <si>
    <t>Do you plan to release this product to market &gt;9 months from now (Y/N)?</t>
  </si>
  <si>
    <t>If your product successfully completes Interop Testing, would you like to have your product listed on the SATA-IO Integrators List (Y/N)?</t>
  </si>
  <si>
    <t>If NO, please comment:</t>
  </si>
  <si>
    <t>If YES, please comment:</t>
  </si>
  <si>
    <t>y_n</t>
  </si>
  <si>
    <t>Interop Workshop #/Test Lab</t>
  </si>
  <si>
    <t>Y</t>
  </si>
  <si>
    <t>N</t>
  </si>
  <si>
    <t>y</t>
  </si>
  <si>
    <t>n</t>
  </si>
  <si>
    <t>test_labs</t>
  </si>
  <si>
    <t>IW #3</t>
  </si>
  <si>
    <t>Do you plan to make any significant hardware or firmware changes to your product after testing that will affect SATA compatibility or functionality (Y/N)?</t>
  </si>
  <si>
    <t>end_type</t>
  </si>
  <si>
    <t>Straight</t>
  </si>
  <si>
    <t>Right Angle</t>
  </si>
  <si>
    <t>Other</t>
  </si>
  <si>
    <t>Vendor information</t>
  </si>
  <si>
    <t>Vender address</t>
  </si>
  <si>
    <t>Vender phone number</t>
  </si>
  <si>
    <t>Vender FAX number</t>
  </si>
  <si>
    <t>Vender contact, Title</t>
  </si>
  <si>
    <t>product_types</t>
  </si>
  <si>
    <t>Electronics Testing Center, Taiwan</t>
  </si>
  <si>
    <t>UNHIOL, New Hampshire, USA</t>
  </si>
  <si>
    <t>Allion, Taiwan</t>
  </si>
  <si>
    <t>PMTC</t>
  </si>
  <si>
    <t>Is this a product family submission (Y/N) ?</t>
  </si>
  <si>
    <t>PHY/TSG/OOB and RX/TX test results included (Y/N) ?</t>
  </si>
  <si>
    <t>Digital test results included (Y/N) ?</t>
  </si>
  <si>
    <t>New source of connector, PCB or SATA support components (AC caps, etc) (Y/N) ?</t>
  </si>
  <si>
    <t>If YES, please describe</t>
  </si>
  <si>
    <t>If SSC is supported, can it be turned ON/OFF (Y/N) ?</t>
  </si>
  <si>
    <t>DC Coupling (Y/N) ?</t>
  </si>
  <si>
    <t>BIST L - Far End Re-timed Loopback (Y/N) ?</t>
  </si>
  <si>
    <t>physical disconnect after BIST L (Y/N) ?</t>
  </si>
  <si>
    <t>BIST T - Far End Transmit Only Mode (Y/N) ?</t>
  </si>
  <si>
    <t>physical disconnect after BIST T (Y/N) ?</t>
  </si>
  <si>
    <t xml:space="preserve">PHY Result Template Revision : </t>
  </si>
  <si>
    <t xml:space="preserve">NOTE : For a 1.5Gb/s only product, fill out column J </t>
  </si>
  <si>
    <t xml:space="preserve">Date Tested: </t>
  </si>
  <si>
    <t>NOTE : Any grey'd out cells are not applicable and can be ignored.</t>
  </si>
  <si>
    <t>Test ID :</t>
  </si>
  <si>
    <t>NOTE : Please make sure ALL appropriate results are completed and listed in the results sheet before submitting to SATA-IO.</t>
  </si>
  <si>
    <t>Overall Electrical PHY/TSG/OOB PASS / FAIL</t>
  </si>
  <si>
    <t>Test</t>
  </si>
  <si>
    <t>Measurement details</t>
  </si>
  <si>
    <t>Units</t>
  </si>
  <si>
    <t>Pattern</t>
  </si>
  <si>
    <t>Interface Rate Tested</t>
  </si>
  <si>
    <t>Min Requirement</t>
  </si>
  <si>
    <t>Max Requirement</t>
  </si>
  <si>
    <t>range margin</t>
  </si>
  <si>
    <t>Result - 1.5Gb/s Product</t>
  </si>
  <si>
    <t>1.5Gb/s Assessment</t>
  </si>
  <si>
    <t>Result - 3.0Gb/s Product</t>
  </si>
  <si>
    <t>3Gb/s Assessment</t>
  </si>
  <si>
    <t>Comment</t>
  </si>
  <si>
    <t>PHY-01 : Unit Interval</t>
  </si>
  <si>
    <t>min to max</t>
  </si>
  <si>
    <t>ps</t>
  </si>
  <si>
    <t>HFTP</t>
  </si>
  <si>
    <t>1.5Gb/s</t>
  </si>
  <si>
    <t>3.0Gb/s</t>
  </si>
  <si>
    <t>PHY-02 : Frequency Long Term Stability</t>
  </si>
  <si>
    <t>min to max (No SSC)</t>
  </si>
  <si>
    <t>ppm</t>
  </si>
  <si>
    <t>No SSC</t>
  </si>
  <si>
    <t>max only (with SSC)</t>
  </si>
  <si>
    <t>SSC</t>
  </si>
  <si>
    <t>PHY-03 : Spread-Spectrum Modulation Frequency</t>
  </si>
  <si>
    <t>kHz</t>
  </si>
  <si>
    <t>PHY-04 : Spread-Spectrum Modulation Deviation</t>
  </si>
  <si>
    <t>TSG-01 : Differential Output Voltage</t>
  </si>
  <si>
    <t>min(DH, DM, VtestLBP)</t>
  </si>
  <si>
    <t>mVppd</t>
  </si>
  <si>
    <t>HFTP, MFTP, LBP</t>
  </si>
  <si>
    <t>min(DH, DM, VtestAPP)</t>
  </si>
  <si>
    <t>HFTP, MFTP, LFTP</t>
  </si>
  <si>
    <t>pu</t>
  </si>
  <si>
    <t>MFTP</t>
  </si>
  <si>
    <t>* INFORMATIVE : No impact to pass/fail</t>
  </si>
  <si>
    <t>pl</t>
  </si>
  <si>
    <t>LFTP</t>
  </si>
  <si>
    <t>TSG-02 : Rise/Fall Time</t>
  </si>
  <si>
    <t>RiseTime : Limit: Max 20-80%</t>
  </si>
  <si>
    <t>FallTime : Limit: Max 20-80%</t>
  </si>
  <si>
    <t>TSG-03 : Differential Skew</t>
  </si>
  <si>
    <t>maximum</t>
  </si>
  <si>
    <t>TSG-04 : AC Common Mode Voltage</t>
  </si>
  <si>
    <t>mVp-p</t>
  </si>
  <si>
    <t>TSG-05 : Rise/Fall Imbalance</t>
  </si>
  <si>
    <t>TX+ rise / TX- fall (maximum)</t>
  </si>
  <si>
    <t>%</t>
  </si>
  <si>
    <t>TX+ fall / TX- rise (maximum)</t>
  </si>
  <si>
    <t>TSG-06 : Amplitude Imbalance</t>
  </si>
  <si>
    <t>UI</t>
  </si>
  <si>
    <t>LBP</t>
  </si>
  <si>
    <t>SSOP</t>
  </si>
  <si>
    <t>RSG-01 : Gen1 Receive Jitter Test</t>
  </si>
  <si>
    <t>frame error count</t>
  </si>
  <si>
    <t>framed long COMP</t>
  </si>
  <si>
    <t>10 MHz</t>
  </si>
  <si>
    <t>62 MHz</t>
  </si>
  <si>
    <t>RSG-02 : Gen2 Receive Jitter Test</t>
  </si>
  <si>
    <t>OOB-01 : OOB Signal Detection Threshold</t>
  </si>
  <si>
    <t>No detect : 40mV</t>
  </si>
  <si>
    <t>pass/fail</t>
  </si>
  <si>
    <t>OOB</t>
  </si>
  <si>
    <t>Detect : 210mV</t>
  </si>
  <si>
    <t>No detect : 60mV</t>
  </si>
  <si>
    <t>OOB-02 : UI During OOB Signaling</t>
  </si>
  <si>
    <t>n/a</t>
  </si>
  <si>
    <t>OOB-03 : COMINIT/RESET and COMWAKE Transmit Burst Length</t>
  </si>
  <si>
    <t>ns</t>
  </si>
  <si>
    <t>OOB-04 : COMINIT/RESET Transmit Gap Length</t>
  </si>
  <si>
    <t>OOB-05 : COMWAKE Transmit Gap Length</t>
  </si>
  <si>
    <t>OOB-06 : COMWAKE Gap Detection Windows</t>
  </si>
  <si>
    <t>Detect : 103ns</t>
  </si>
  <si>
    <t>PASS</t>
  </si>
  <si>
    <t>Detect : 110ns</t>
  </si>
  <si>
    <t>FAIL</t>
  </si>
  <si>
    <t>No detect : 30ns</t>
  </si>
  <si>
    <t>pass</t>
  </si>
  <si>
    <t>No detect : 177ns</t>
  </si>
  <si>
    <t>fail</t>
  </si>
  <si>
    <t>OOB-07 : COMINIT/RESET Gap Detection Windows</t>
  </si>
  <si>
    <t>Detect : 306ns</t>
  </si>
  <si>
    <t>Detect : 334ns</t>
  </si>
  <si>
    <t>No detect : 173ns</t>
  </si>
  <si>
    <t>No detect : 527ns</t>
  </si>
  <si>
    <t xml:space="preserve">NOTE : For a 1.5Gb/s only product, fill out column I for the results which are applicable. </t>
  </si>
  <si>
    <t xml:space="preserve">NOTE : For a 3Gb/s product, fill out column K. Some tests will have areas for 1.5Gb/s results per the Unified Test document.  </t>
  </si>
  <si>
    <t>TX/RX results complete and PASS / FAIL / UNK</t>
  </si>
  <si>
    <t>Range Margin</t>
  </si>
  <si>
    <t>1.5Gb/s Result</t>
  </si>
  <si>
    <t>3.0Gb/s Result</t>
  </si>
  <si>
    <t>TX-01 : Pair Differential Impedance</t>
  </si>
  <si>
    <t>minimum</t>
  </si>
  <si>
    <t>ohms</t>
  </si>
  <si>
    <t>* Record result.  May not be used if TX-06 is a pass.</t>
  </si>
  <si>
    <t>TX-02 : Single-Ended Impedance</t>
  </si>
  <si>
    <t>minimum (+)</t>
  </si>
  <si>
    <t>NA</t>
  </si>
  <si>
    <t>minimum (-)</t>
  </si>
  <si>
    <t>TX-03 : Gen2 (3Gb/s) Differential Mode Return Loss</t>
  </si>
  <si>
    <t>min @ Freq: 150MHz-300MHz</t>
  </si>
  <si>
    <t>dB</t>
  </si>
  <si>
    <t>min @ Freq: 300MHz-600MHz</t>
  </si>
  <si>
    <t>min @ Freq: 600MHz-1.2GHz</t>
  </si>
  <si>
    <t>min @ Freq: 1.2GHz-2.4GHz</t>
  </si>
  <si>
    <t>min @ Freq: 2.4GHz-3.0GHz</t>
  </si>
  <si>
    <t>min @ Freq: 3.0GHz-5.0GHz</t>
  </si>
  <si>
    <t>TX-04 : Gen2 (3Gb/s) Common Mode Return Loss</t>
  </si>
  <si>
    <t>TX-05 : Gen2 (3Gb/s) Impedance Balance</t>
  </si>
  <si>
    <t>TX-06 : Gen1 (1.5Gb/s) Differential Mode Return Loss</t>
  </si>
  <si>
    <t>min @ Freq: 75MHz-150MHz</t>
  </si>
  <si>
    <t>RX-01 : Pair Differential Impedance</t>
  </si>
  <si>
    <t>* Record result.  May not be used if RX-06 is a pass.</t>
  </si>
  <si>
    <t>RX-02 : Single-Ended Impedance</t>
  </si>
  <si>
    <t>RX-03 : Gen2 (3Gb/s) Differential Mode Return Loss</t>
  </si>
  <si>
    <t>RX-04 : Gen2 (3Gb/s) Common Mode Return Loss</t>
  </si>
  <si>
    <t>RX-05 : Gen2 (3Gb/s) Impedance Balance</t>
  </si>
  <si>
    <t>RX-06 : Gen1 (1.5Gb/s) Differential Mode Return Loss</t>
  </si>
  <si>
    <t xml:space="preserve">Digital Result Template Revision : </t>
  </si>
  <si>
    <t>Overall Digital PASS / FAIL</t>
  </si>
  <si>
    <t>margin range</t>
  </si>
  <si>
    <t>Result - HDD</t>
  </si>
  <si>
    <t>HDD Assessment</t>
  </si>
  <si>
    <t>Result - ODD</t>
  </si>
  <si>
    <t>ODD Assessment</t>
  </si>
  <si>
    <t>Result - Host</t>
  </si>
  <si>
    <t>Host Assessment</t>
  </si>
  <si>
    <t>Comments</t>
  </si>
  <si>
    <t>GTR-01 : Software Reset</t>
  </si>
  <si>
    <t>Pass/Fail</t>
  </si>
  <si>
    <t>na</t>
  </si>
  <si>
    <t>GTR-02 : 3Gb/s Backwards Compatibility</t>
  </si>
  <si>
    <t>GTR-03 : DMA Protocol Support</t>
  </si>
  <si>
    <t>GTR-04 : Word 93 contents</t>
  </si>
  <si>
    <t>GTR-05 : Unrecognized FIS receipt</t>
  </si>
  <si>
    <t>NCQ-01 : Forced Unit Access</t>
  </si>
  <si>
    <t>NCQ-02 : Read Log Ext log page 10h support</t>
  </si>
  <si>
    <t>NCQ-03 : Intermix of Legacy and NCQ commands</t>
  </si>
  <si>
    <t>NCQ-04 : Device response to malformed NCQ command</t>
  </si>
  <si>
    <t>NCQ-05 : DMA Setup Auto-Activate</t>
  </si>
  <si>
    <t>ASR-01 : COMINIT response interval</t>
  </si>
  <si>
    <t>ASR-02 : COMINIT OOB interval</t>
  </si>
  <si>
    <t>ASR-03 : COMRESET OOB interval</t>
  </si>
  <si>
    <t>SSP-01 : Initialize Device Parameters</t>
  </si>
  <si>
    <t>SSP-02 : Read/Write Stream Error Log</t>
  </si>
  <si>
    <t>SSP-03 : Security Mode State</t>
  </si>
  <si>
    <t>SSP-04 : Set Address Max</t>
  </si>
  <si>
    <t>SSP-05 : Set Features – Write Cache Enable/Disable</t>
  </si>
  <si>
    <t>SSP-06 : Set Features – Set Transfer Mode</t>
  </si>
  <si>
    <t>SSP-08 : Set Features – Read Look-Ahead</t>
  </si>
  <si>
    <t>SSP-09 : Set Features – Release Interrupt</t>
  </si>
  <si>
    <t>SSP-10 : Set Features – Service Interrupt</t>
  </si>
  <si>
    <t>SSP-11 : Set Multiple Mode</t>
  </si>
  <si>
    <t>IPM-04 : Lack of IPM support</t>
  </si>
  <si>
    <t>IPM-05 : Response to PMREQ_P</t>
  </si>
  <si>
    <t>IPM-06 : Response to PMREQ_S</t>
  </si>
  <si>
    <t>IPM-07 : Device default setting for device initiated requests</t>
  </si>
  <si>
    <t xml:space="preserve">Device Mechanical Result Template Revision : </t>
  </si>
  <si>
    <t xml:space="preserve">Test ID : </t>
  </si>
  <si>
    <t>Result</t>
  </si>
  <si>
    <t>2.5"</t>
  </si>
  <si>
    <t>Overall 2.5" Mechanical Pass / Fail</t>
  </si>
  <si>
    <t>Measurement</t>
  </si>
  <si>
    <t>Range margin</t>
  </si>
  <si>
    <t>Assessment</t>
  </si>
  <si>
    <t>MDI-01 : Connector Location</t>
  </si>
  <si>
    <t>a1) From the centerline of the side mounting holes to the top of the tongue of the SATA plug.</t>
  </si>
  <si>
    <t>mm</t>
  </si>
  <si>
    <t>a2) From the bottom surface of the drive to the top of the tongue of the SATA plug.</t>
  </si>
  <si>
    <t>b) Parallelism of the top of the tongue of the SATA plug vs. the bottom surface of the drive.</t>
  </si>
  <si>
    <t>c) From the centerline of the drive to the centerline of the SATA plug.</t>
  </si>
  <si>
    <t>d1) From the centerline of the side mounting holes to the base of the tongue of the SATA plug.</t>
  </si>
  <si>
    <t>d2) From the centerline of the bottom mounting holes to the base of the tongue of the SATA plug.</t>
  </si>
  <si>
    <t>MDI-02 : Visual and Dimensional Inspections</t>
  </si>
  <si>
    <t xml:space="preserve">a) The thickness of the device plug tongue </t>
  </si>
  <si>
    <t xml:space="preserve">b) If the “Optional Wall＂ of Figure 28 is present then the distance from the device plug tongue to the wall </t>
  </si>
  <si>
    <t>c) If the “Optional Wall＂ of Figure 28 is not present, minimum keep out zone</t>
  </si>
  <si>
    <t>d) The combined width of the power and signal segments</t>
  </si>
  <si>
    <t>e) The separation between the power and signal segments</t>
  </si>
  <si>
    <t>MDP-01 : Visual and Dimensional Inspections</t>
  </si>
  <si>
    <t>b) If the “Optional Wall＂ of Figure 28 is present then the distance from the device plug tongue to the wall</t>
  </si>
  <si>
    <t>3.5"</t>
  </si>
  <si>
    <t>Overall 3.5" Mechanical Pass / Fail</t>
  </si>
  <si>
    <t>a1) From the centerline of the mounting holes to the top of the tongue of the SATA plug.</t>
  </si>
  <si>
    <t>5.25"</t>
  </si>
  <si>
    <t>Optic</t>
  </si>
  <si>
    <t>Non-Opt</t>
  </si>
  <si>
    <t xml:space="preserve">a) From the bottom surface of the drive to the top of the tongue of the SATA plug. </t>
  </si>
  <si>
    <t xml:space="preserve">b) Parallelism of the top of the tongue of the SATA plug vs. the bottom surface of the drive. </t>
  </si>
  <si>
    <t xml:space="preserve">c) From the centerline of the drive to the centerline of the SATA plug. </t>
  </si>
  <si>
    <t xml:space="preserve">d) From the back surface of the drive (i.e. the “end of the device factor”) to the base of the tongue of the SATA plug. </t>
  </si>
  <si>
    <t xml:space="preserve">System InteropTemplate Revision : </t>
  </si>
  <si>
    <t>System Configurations</t>
  </si>
  <si>
    <t>Device Configurations</t>
  </si>
  <si>
    <t>Config #1</t>
  </si>
  <si>
    <t>System #1 - HP XW9300 (nVidia)</t>
  </si>
  <si>
    <t xml:space="preserve">Device #1 - Gen2 HDD </t>
  </si>
  <si>
    <t xml:space="preserve">Device Info: </t>
  </si>
  <si>
    <t>Config #2</t>
  </si>
  <si>
    <t>System #2 - HP DX5150 (ATI)</t>
  </si>
  <si>
    <t xml:space="preserve">Device #2 - Gen2 HDD </t>
  </si>
  <si>
    <t>Config #3</t>
  </si>
  <si>
    <t>System #3 - HP DX6120 (Intel Gen 1)</t>
  </si>
  <si>
    <t xml:space="preserve">Device #3 - Gen1 HDD </t>
  </si>
  <si>
    <t>Config #4</t>
  </si>
  <si>
    <t>System #4 - HP 7600 (Intel Gen 2)</t>
  </si>
  <si>
    <t xml:space="preserve">Device #4 - Gen1 ODD </t>
  </si>
  <si>
    <t>Config #5</t>
  </si>
  <si>
    <t>System #5 - SI 3132 (SI)</t>
  </si>
  <si>
    <t xml:space="preserve">Device #5 - Gen1 ODD </t>
  </si>
  <si>
    <t>Test ID</t>
  </si>
  <si>
    <t>Config #1 Result</t>
  </si>
  <si>
    <t>Config #2 Result</t>
  </si>
  <si>
    <t>Config #3 Result</t>
  </si>
  <si>
    <t>Config #4 Result</t>
  </si>
  <si>
    <t>Config #5 Result</t>
  </si>
  <si>
    <t>Notes</t>
  </si>
  <si>
    <t>P/F</t>
  </si>
  <si>
    <t>Loops</t>
  </si>
  <si>
    <t>MB</t>
  </si>
  <si>
    <t>Time (s)</t>
  </si>
  <si>
    <t>MB/s</t>
  </si>
  <si>
    <t xml:space="preserve">Host Mechanical Result Template Revision : </t>
  </si>
  <si>
    <t>MHI-01 : Visual and Dimensional Inspections</t>
  </si>
  <si>
    <t>a) Gap between tongue to edge of blind mate key</t>
  </si>
  <si>
    <t>b) Gap between tongue to blind mate key</t>
  </si>
  <si>
    <t>c) Gap between tongue and 2nd wall</t>
  </si>
  <si>
    <t>d) Width of tongue</t>
  </si>
  <si>
    <t>e) Width of short leg of "L"</t>
  </si>
  <si>
    <t>f) Depth of tongue (from tip to base)</t>
  </si>
  <si>
    <t>g) Inside width of the blind mate key</t>
  </si>
  <si>
    <t>h) Thickness of tongue</t>
  </si>
  <si>
    <t>i) Gap between tongue and keep out or optional latching wall</t>
  </si>
  <si>
    <t>MHB-01 : Visual and Dimensional Inspections</t>
  </si>
  <si>
    <t>TBD</t>
  </si>
  <si>
    <t>Overall 5.25" Mechanical Pass / Fail</t>
  </si>
  <si>
    <t>PHY</t>
  </si>
  <si>
    <t>Product Info</t>
  </si>
  <si>
    <t>TXRX</t>
  </si>
  <si>
    <t>Digital</t>
  </si>
  <si>
    <t>Mechanical_25</t>
  </si>
  <si>
    <t>Mechanical_35</t>
  </si>
  <si>
    <t>Mechanical_525</t>
  </si>
  <si>
    <t>Mechanical_slim</t>
  </si>
  <si>
    <t>System Interop</t>
  </si>
  <si>
    <t>Host Internal</t>
  </si>
  <si>
    <t>Host Backplane</t>
  </si>
  <si>
    <r>
      <t>(1)</t>
    </r>
    <r>
      <rPr>
        <sz val="7"/>
        <rFont val="Times New Roman"/>
        <family val="1"/>
      </rPr>
      <t xml:space="preserve">   </t>
    </r>
    <r>
      <rPr>
        <sz val="10"/>
        <rFont val="Arial"/>
        <family val="2"/>
      </rPr>
      <t>Change 3 frequency values to 10,33 and 62 Mhz</t>
    </r>
  </si>
  <si>
    <r>
      <t>(2)</t>
    </r>
    <r>
      <rPr>
        <sz val="7"/>
        <rFont val="Times New Roman"/>
        <family val="1"/>
      </rPr>
      <t xml:space="preserve">   </t>
    </r>
    <r>
      <rPr>
        <sz val="10"/>
        <rFont val="Arial"/>
        <family val="2"/>
      </rPr>
      <t>Remove informative comment</t>
    </r>
  </si>
  <si>
    <r>
      <t>(3)</t>
    </r>
    <r>
      <rPr>
        <sz val="7"/>
        <rFont val="Times New Roman"/>
        <family val="1"/>
      </rPr>
      <t xml:space="preserve">   </t>
    </r>
    <r>
      <rPr>
        <sz val="10"/>
        <rFont val="Arial"/>
        <family val="2"/>
      </rPr>
      <t>Update data validation to reflect being now required</t>
    </r>
  </si>
  <si>
    <t>Remove 2ns measurement,</t>
  </si>
  <si>
    <t>Remove data verification dependancy</t>
  </si>
  <si>
    <r>
      <t>(1)</t>
    </r>
    <r>
      <rPr>
        <sz val="7"/>
        <rFont val="Times New Roman"/>
        <family val="1"/>
      </rPr>
      <t xml:space="preserve">   </t>
    </r>
    <r>
      <rPr>
        <sz val="10"/>
        <rFont val="Arial"/>
        <family val="2"/>
      </rPr>
      <t>Digital – Host – Update host column in the digital template</t>
    </r>
  </si>
  <si>
    <r>
      <t>(3)</t>
    </r>
    <r>
      <rPr>
        <sz val="7"/>
        <rFont val="Times New Roman"/>
        <family val="1"/>
      </rPr>
      <t xml:space="preserve">   </t>
    </r>
    <r>
      <rPr>
        <sz val="10"/>
        <rFont val="Arial"/>
        <family val="2"/>
      </rPr>
      <t>ASR-03 – is valid for hosts</t>
    </r>
  </si>
  <si>
    <t>Date</t>
  </si>
  <si>
    <t>Ver</t>
  </si>
  <si>
    <t>Tab</t>
  </si>
  <si>
    <t>Req</t>
  </si>
  <si>
    <t>Details</t>
  </si>
  <si>
    <t>12.7mm</t>
  </si>
  <si>
    <t>9.5mm</t>
  </si>
  <si>
    <t>Slimline Optical</t>
  </si>
  <si>
    <t>Slimline</t>
  </si>
  <si>
    <t>Overall Slimline Mechanical Pass / Fail</t>
  </si>
  <si>
    <t>MDI-02 - Made measurement b and c mutually exclusive, fail if values for both</t>
  </si>
  <si>
    <t>MDP-01 - Made measurement b and c mutually exclusive, fail if values for both</t>
  </si>
  <si>
    <t>Add tab</t>
  </si>
  <si>
    <t xml:space="preserve">Host Backplane Result Template Revision : </t>
  </si>
  <si>
    <t>33 MHz</t>
  </si>
  <si>
    <t>RSG - 01</t>
  </si>
  <si>
    <t>RX-01 / TX-01</t>
  </si>
  <si>
    <t>A</t>
  </si>
  <si>
    <t>IPM-01 : Partial State exit latency (host-initiated)</t>
  </si>
  <si>
    <t>IPM-02 : Slumber State exit latency (host-initiated)</t>
  </si>
  <si>
    <t>IPM-03 : Speed matching upon resume (host-initiated)</t>
  </si>
  <si>
    <t>IPM-08 : Device Initiated Power Management Enable</t>
  </si>
  <si>
    <t>IPM-09 : Partial State exit latency (device-initiated)</t>
  </si>
  <si>
    <t>IPM-10 : Slumber State exit latency (device-initiated)</t>
  </si>
  <si>
    <t>IPM-11 : Speed matching upon resume (device-initiated)</t>
  </si>
  <si>
    <r>
      <t>(2)</t>
    </r>
    <r>
      <rPr>
        <sz val="7"/>
        <rFont val="Times New Roman"/>
        <family val="1"/>
      </rPr>
      <t xml:space="preserve">   </t>
    </r>
    <r>
      <rPr>
        <sz val="10"/>
        <rFont val="Arial"/>
        <family val="2"/>
      </rPr>
      <t>GT5-05 informative</t>
    </r>
  </si>
  <si>
    <t>Informative</t>
  </si>
  <si>
    <t>IPM - Update to reflect split of DIPM and HIPM</t>
  </si>
  <si>
    <t>Date Tested:</t>
  </si>
  <si>
    <t>A3</t>
  </si>
  <si>
    <t>MDI-01d - Corrected nominal depth from 4.9 to 5.2mm</t>
  </si>
  <si>
    <t xml:space="preserve">c) From the edge of the drive to the centerline of the SATA plug. </t>
  </si>
  <si>
    <t>TSG-01 - Grey'ed out Gen 3 values in Gen 1 column (beyond optional, not possible)</t>
  </si>
  <si>
    <t>TSG-02 - Grey'ed out Gen 3 values in Gen 1 column (beyond optional, not possible)</t>
  </si>
  <si>
    <t>IPM-07 - ODD - removed dependancies from other IPM tests to mirror HDD formula</t>
  </si>
  <si>
    <t>Made 33 MHz optional to properly reflect UTD</t>
  </si>
  <si>
    <t>Min Req</t>
  </si>
  <si>
    <t>Max Req</t>
  </si>
  <si>
    <t>min only, Option 1 of 2 - only one option is req'd</t>
  </si>
  <si>
    <t>min only, Option 2 of 2 - only one option is req'd</t>
  </si>
  <si>
    <t>NOTE : For a 3Gb/s product, fill out column L. Some 1.5Gb/s results are also required per the UTD</t>
  </si>
  <si>
    <t>All - Changed TID to use leading zero 9 digit format</t>
  </si>
  <si>
    <t>All - Changed Date to have a format of Month, Day, 4-digit year</t>
  </si>
  <si>
    <t>MDI-01c - Corrected text from centerline of drive to edge of drive to match SATA spec</t>
  </si>
  <si>
    <t>TX-03 / TX-04 / TX-05 / TX-06, RX-03 / RX-04 / RX-05 / RX-06</t>
  </si>
  <si>
    <t>Removed minimum requirement</t>
  </si>
  <si>
    <t>MDI-01d - Corrected tolerance from +- 0.08 to +-0.30mm</t>
  </si>
  <si>
    <t>A4</t>
  </si>
  <si>
    <r>
      <t>TSG-09 : Gen 1 TJ at Connector, Clock, f</t>
    </r>
    <r>
      <rPr>
        <vertAlign val="subscript"/>
        <sz val="10"/>
        <rFont val="Arial"/>
        <family val="2"/>
      </rPr>
      <t>BAUD</t>
    </r>
    <r>
      <rPr>
        <sz val="10"/>
        <rFont val="Arial"/>
        <family val="2"/>
      </rPr>
      <t xml:space="preserve"> / 500</t>
    </r>
  </si>
  <si>
    <r>
      <t>TSG-10 : Gen 1 DJ at Connector, Clock, f</t>
    </r>
    <r>
      <rPr>
        <vertAlign val="subscript"/>
        <sz val="10"/>
        <rFont val="Arial"/>
        <family val="2"/>
      </rPr>
      <t>BAUD</t>
    </r>
    <r>
      <rPr>
        <sz val="10"/>
        <rFont val="Arial"/>
        <family val="2"/>
      </rPr>
      <t xml:space="preserve"> / 500</t>
    </r>
  </si>
  <si>
    <r>
      <t>TSG-08 : Gen 1 DJ at Connector, Clock, f</t>
    </r>
    <r>
      <rPr>
        <vertAlign val="subscript"/>
        <sz val="10"/>
        <color indexed="10"/>
        <rFont val="Arial"/>
        <family val="2"/>
      </rPr>
      <t>BAUD</t>
    </r>
    <r>
      <rPr>
        <sz val="10"/>
        <color indexed="10"/>
        <rFont val="Arial"/>
        <family val="2"/>
      </rPr>
      <t xml:space="preserve"> / 10</t>
    </r>
  </si>
  <si>
    <r>
      <t>TSG-07 : Gen 1 TJ at Connector, Clock, f</t>
    </r>
    <r>
      <rPr>
        <vertAlign val="subscript"/>
        <sz val="10"/>
        <color indexed="10"/>
        <rFont val="Arial"/>
        <family val="2"/>
      </rPr>
      <t>BAUD</t>
    </r>
    <r>
      <rPr>
        <sz val="10"/>
        <color indexed="10"/>
        <rFont val="Arial"/>
        <family val="2"/>
      </rPr>
      <t xml:space="preserve"> / 10</t>
    </r>
  </si>
  <si>
    <r>
      <t>TSG-11 : Gen 2 TJ at Connector, Clock, f</t>
    </r>
    <r>
      <rPr>
        <vertAlign val="subscript"/>
        <sz val="10"/>
        <rFont val="Arial"/>
        <family val="2"/>
      </rPr>
      <t>BAUD</t>
    </r>
    <r>
      <rPr>
        <sz val="10"/>
        <rFont val="Arial"/>
        <family val="2"/>
      </rPr>
      <t xml:space="preserve"> / 500</t>
    </r>
  </si>
  <si>
    <r>
      <t>TSG-12 : Gen 2 DJ at Connector, Clock, f</t>
    </r>
    <r>
      <rPr>
        <vertAlign val="subscript"/>
        <sz val="10"/>
        <rFont val="Arial"/>
        <family val="2"/>
      </rPr>
      <t>BAUD</t>
    </r>
    <r>
      <rPr>
        <sz val="10"/>
        <rFont val="Arial"/>
        <family val="2"/>
      </rPr>
      <t xml:space="preserve"> / 500</t>
    </r>
  </si>
  <si>
    <t>PHY-03 - If value is supplied for PHY-02 SSC, no value is expected.  If value supplied it will be validated</t>
  </si>
  <si>
    <t>PHY-04 - If value is supplied for PHY-02 SSC, no value is expected.  If value supplied it will be validated</t>
  </si>
  <si>
    <t>TSG-07 / -08 / -09 / -10 / -11 - Updated text to indicate clock to data measurement and included fBAUD designators</t>
  </si>
  <si>
    <t>All - Changed IN-COMPLETE to INCOMPLETE</t>
  </si>
  <si>
    <t>TSG-03 - 3 Gb/s, removed result evaluation (it’s an optional measurement)</t>
  </si>
  <si>
    <t>A5</t>
  </si>
  <si>
    <t>TSG-03 - Added pass/fail color coding for 3Gb/s PASS/FAIL results</t>
  </si>
  <si>
    <t>IPM-08 - Added pass/fail selection</t>
  </si>
  <si>
    <t>TSG-01 - 1.5 Gb/sMade UNK removed if either value is present, both are compared</t>
  </si>
  <si>
    <t>TSG-01 - 3 Gb/s - Made UNK removed if either value is present, both are compared</t>
  </si>
  <si>
    <t>PASS if PM_NAK for no IPM</t>
  </si>
  <si>
    <t>NOTE: If IPM not supported only answer IPM-04, if supported, IPM-04 = na</t>
  </si>
  <si>
    <t>IPM-01 to IPM-11 - Pass on IPM-04 clears out UNK</t>
  </si>
  <si>
    <t>NCQ-01 if answer is na, clears out assessment for all NCQ tests</t>
  </si>
  <si>
    <t>ASR-01 if answer is na, clears out assessment for all ASR tests</t>
  </si>
  <si>
    <t>SSP-01 if answer is na, clears out assessment for all SSP tests</t>
  </si>
  <si>
    <t>Added NOTE about using "na"</t>
  </si>
  <si>
    <t>A6</t>
  </si>
  <si>
    <t>Added footer</t>
  </si>
  <si>
    <t>IPM-01 - conditional formating for ODD changed to value not pass/fail compare</t>
  </si>
  <si>
    <t>Pass/Fail/na</t>
  </si>
  <si>
    <t>NOTE: If result cell is not applicable, use na if allowed</t>
  </si>
  <si>
    <t>A7</t>
  </si>
  <si>
    <t>IPM-01 to IPM-11 - Allow "na" to force no evaluation</t>
  </si>
  <si>
    <t>Created pass/fail/na menu to be used by all optional features</t>
  </si>
  <si>
    <t>Created an INVALID flag to support cut-paste of invalid numbers</t>
  </si>
  <si>
    <t>COMPLETE flag now goes incomplete if INVALID is seen</t>
  </si>
  <si>
    <t>PASS/FAIL Flag now stays UNK if INVALID, but no FAILS</t>
  </si>
  <si>
    <t>Added heavy underbar to date cell</t>
  </si>
  <si>
    <t>SSP-07 : Set Features – Advanced Power Management</t>
  </si>
  <si>
    <t>Pass / fail and COMPLETE flags now look for INVALID and say UNK and INCOMPLETE</t>
  </si>
  <si>
    <t>usec or na</t>
  </si>
  <si>
    <t>ms or na</t>
  </si>
  <si>
    <t>A8</t>
  </si>
  <si>
    <t>Added "na" to all the unit fields when na is allowed</t>
  </si>
  <si>
    <t>1.2 (B)</t>
  </si>
  <si>
    <t>TXRX Result Template Revision : 1.2 (B)</t>
  </si>
  <si>
    <t>B</t>
  </si>
  <si>
    <t>RX-01/TX-01, RX-06/TX-06 added $ for comparision reference</t>
  </si>
  <si>
    <t>B2</t>
  </si>
  <si>
    <t>RSG -01 / -02 - Changed 33 MHz to be normative to match UTD</t>
  </si>
  <si>
    <t>If yes, retest section required</t>
  </si>
  <si>
    <t>Product Test ID (TID): *</t>
  </si>
  <si>
    <t>Product Type: *</t>
  </si>
  <si>
    <t>Vender Name *</t>
  </si>
  <si>
    <t>E-mail *</t>
  </si>
  <si>
    <t>Web Site *</t>
  </si>
  <si>
    <t>* = info used for IL website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</si>
  <si>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</si>
  <si>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</si>
  <si>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</si>
  <si>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</si>
  <si>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</si>
  <si>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</si>
  <si>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</si>
  <si>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</si>
  <si>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</si>
  <si>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</si>
  <si>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Product Name</t>
  </si>
  <si>
    <t>Are there any SATA impacting material changes or difference between products (Y/N) ?</t>
  </si>
  <si>
    <t>Connector change in design or requirements or different between products (Y/N) ?</t>
  </si>
  <si>
    <t>If "Y", PHY/TSG/OOB, RX/TX, and MDI tests results included (Y/N) ?</t>
  </si>
  <si>
    <t>If "Y", PHY/TSG/OOB and RX/TX test results included (Y/N) ?</t>
  </si>
  <si>
    <t>SATA interface silicon change or different (Y/N) ?</t>
  </si>
  <si>
    <t>SATA interface non-silicon parts change or different (AC caps, etc) (Y/N) ?</t>
  </si>
  <si>
    <t>Firmware change or different - SATA interface impact (SSC, signal level, edge rate) (Y/N) ?</t>
  </si>
  <si>
    <t>Firmware change or different - Link layer (DIPM, etc) (Y/N) ?</t>
  </si>
  <si>
    <t>Firmware change or different - Removal of optional SATA feature (Y/N) ?</t>
  </si>
  <si>
    <t>Firmware change or different - non-SATA impacting (additional media vendor support) (Y/N) ?</t>
  </si>
  <si>
    <t>External material changes or differences (change in size or shape of exterior) (Y/N) ?</t>
  </si>
  <si>
    <t>Why are all other test results still valid or all applicable to all products of family ?</t>
  </si>
  <si>
    <t>Is this a Single family listing (Y/N) ?</t>
  </si>
  <si>
    <t>If yes, retest AND single family listing section required</t>
  </si>
  <si>
    <t>Firmware revision definition</t>
  </si>
  <si>
    <t>Part number definition</t>
  </si>
  <si>
    <t>Model number definition</t>
  </si>
  <si>
    <t>NCQ</t>
  </si>
  <si>
    <t>ASR</t>
  </si>
  <si>
    <t>SSP</t>
  </si>
  <si>
    <t>IPMd</t>
  </si>
  <si>
    <t>IPMh</t>
  </si>
  <si>
    <t>3Gb/s</t>
  </si>
  <si>
    <t>Added Product family info (part #, model #, firmware)</t>
  </si>
  <si>
    <t xml:space="preserve">Added website </t>
  </si>
  <si>
    <t>Added Single Family listing section</t>
  </si>
  <si>
    <t>Changed retest section to cover both retesting and product family</t>
  </si>
  <si>
    <t>Native Command Queuing (Y/N) ? *</t>
  </si>
  <si>
    <t>Asynchronous Signal Recovery (Y/N) ? *</t>
  </si>
  <si>
    <t>Software Settings Preservation (Y/N) ? *</t>
  </si>
  <si>
    <t>Interface Power Management (device initiated) (Y/N) ? *</t>
  </si>
  <si>
    <t>Interface Power Management (host initiated) (Y/N) ? *</t>
  </si>
  <si>
    <t>3Gb/s interface rate (Y/N) ? *</t>
  </si>
  <si>
    <t>Spread Spectrum Clocking (SSC) (Y/N) ? *</t>
  </si>
  <si>
    <t>PHY-01a</t>
  </si>
  <si>
    <t>Tag</t>
  </si>
  <si>
    <t>Data</t>
  </si>
  <si>
    <t>Rev</t>
  </si>
  <si>
    <t>PHY-01b</t>
  </si>
  <si>
    <t>&lt;&lt;PHY-01a-data&gt;&gt;</t>
  </si>
  <si>
    <t>&lt;&lt;PHY-01b-data&gt;&gt;</t>
  </si>
  <si>
    <t>PHY-02a</t>
  </si>
  <si>
    <t>PHY-02b</t>
  </si>
  <si>
    <t>PHY-02c</t>
  </si>
  <si>
    <t>PHY-02d</t>
  </si>
  <si>
    <t>&lt;&lt;PHY-02a-data&gt;&gt;</t>
  </si>
  <si>
    <t>&lt;&lt;PHY-02b-data&gt;&gt;</t>
  </si>
  <si>
    <t>&lt;&lt;PHY-02c-data&gt;&gt;</t>
  </si>
  <si>
    <t>&lt;&lt;PHY-02d-data&gt;&gt;</t>
  </si>
  <si>
    <t>PHY-03a</t>
  </si>
  <si>
    <t>PHY-03b</t>
  </si>
  <si>
    <t>&lt;&lt;PHY-03a-data&gt;&gt;</t>
  </si>
  <si>
    <t>&lt;&lt;PHY-03b-data&gt;&gt;</t>
  </si>
  <si>
    <t>1.2 (C1)</t>
  </si>
  <si>
    <t>PHY-04a</t>
  </si>
  <si>
    <t>PHY-04b</t>
  </si>
  <si>
    <t>&lt;&lt;PHY-04a-data&gt;&gt;</t>
  </si>
  <si>
    <t>&lt;&lt;PHY-04b-data&gt;&gt;</t>
  </si>
  <si>
    <t>TSG-01a</t>
  </si>
  <si>
    <t>&lt;&lt;TSG-01a-data&gt;&gt;</t>
  </si>
  <si>
    <t>TSG-01b</t>
  </si>
  <si>
    <t>&lt;&lt;TSG-01b-data&gt;&gt;</t>
  </si>
  <si>
    <t>TSG-01c</t>
  </si>
  <si>
    <t>&lt;&lt;TSG-01c-data&gt;&gt;</t>
  </si>
  <si>
    <t>TSG-01d</t>
  </si>
  <si>
    <t>&lt;&lt;TSG-01d-data&gt;&gt;</t>
  </si>
  <si>
    <t>TSG-01e</t>
  </si>
  <si>
    <t>&lt;&lt;TSG-01e-data&gt;&gt;</t>
  </si>
  <si>
    <t>TSG-01f</t>
  </si>
  <si>
    <t>&lt;&lt;TSG-01f-data&gt;&gt;</t>
  </si>
  <si>
    <t>TSG-01g</t>
  </si>
  <si>
    <t>&lt;&lt;TSG-01g-data&gt;&gt;</t>
  </si>
  <si>
    <t>TSG-01h</t>
  </si>
  <si>
    <t>&lt;&lt;TSG-01h-data&gt;&gt;</t>
  </si>
  <si>
    <t>TSG-01i</t>
  </si>
  <si>
    <t>&lt;&lt;TSG-01i-data&gt;&gt;</t>
  </si>
  <si>
    <t>TSG-01j</t>
  </si>
  <si>
    <t>&lt;&lt;TSG-01j-data&gt;&gt;</t>
  </si>
  <si>
    <t>TSG-01k</t>
  </si>
  <si>
    <t>&lt;&lt;TSG-01k-data&gt;&gt;</t>
  </si>
  <si>
    <t>TSG-01l</t>
  </si>
  <si>
    <t>&lt;&lt;TSG-01l-data&gt;&gt;</t>
  </si>
  <si>
    <t>TSG-02a</t>
  </si>
  <si>
    <t>&lt;&lt;TSG-02a-data&gt;&gt;</t>
  </si>
  <si>
    <t>TSG-02b</t>
  </si>
  <si>
    <t>&lt;&lt;TSG-02b-data&gt;&gt;</t>
  </si>
  <si>
    <t>TSG-02c</t>
  </si>
  <si>
    <t>&lt;&lt;TSG-02c-data&gt;&gt;</t>
  </si>
  <si>
    <t>TSG-02d</t>
  </si>
  <si>
    <t>&lt;&lt;TSG-02d-data&gt;&gt;</t>
  </si>
  <si>
    <t>TSG-03a</t>
  </si>
  <si>
    <t>&lt;&lt;TSG-03a-data&gt;&gt;</t>
  </si>
  <si>
    <t>TSG-03b</t>
  </si>
  <si>
    <t>&lt;&lt;TSG-03b-data&gt;&gt;</t>
  </si>
  <si>
    <t>TSG-03c</t>
  </si>
  <si>
    <t>&lt;&lt;TSG-03c-data&gt;&gt;</t>
  </si>
  <si>
    <t>TSG-03d</t>
  </si>
  <si>
    <t>&lt;&lt;TSG-03d-data&gt;&gt;</t>
  </si>
  <si>
    <t>TSG-04</t>
  </si>
  <si>
    <t>&lt;&lt;TSG-04-data&gt;&gt;</t>
  </si>
  <si>
    <t>TSG-05a</t>
  </si>
  <si>
    <t>&lt;&lt;TSG-05a-data&gt;&gt;</t>
  </si>
  <si>
    <t>TSG-05b</t>
  </si>
  <si>
    <t>&lt;&lt;TSG-05b-data&gt;&gt;</t>
  </si>
  <si>
    <t>TSG-05c</t>
  </si>
  <si>
    <t>&lt;&lt;TSG-05c-data&gt;&gt;</t>
  </si>
  <si>
    <t>TSG-05d</t>
  </si>
  <si>
    <t>&lt;&lt;TSG-05d-data&gt;&gt;</t>
  </si>
  <si>
    <t>TSG-06a</t>
  </si>
  <si>
    <t>&lt;&lt;TSG-06a-data&gt;&gt;</t>
  </si>
  <si>
    <t>TSG-06b</t>
  </si>
  <si>
    <t>&lt;&lt;TSG-06b-data&gt;&gt;</t>
  </si>
  <si>
    <t>TSG-07a</t>
  </si>
  <si>
    <t>&lt;&lt;TSG-07a-data&gt;&gt;</t>
  </si>
  <si>
    <t>TSG-07b</t>
  </si>
  <si>
    <t>&lt;&lt;TSG-07b-data&gt;&gt;</t>
  </si>
  <si>
    <t>TSG-07c</t>
  </si>
  <si>
    <t>&lt;&lt;TSG-07c-data&gt;&gt;</t>
  </si>
  <si>
    <t>TSG-08a</t>
  </si>
  <si>
    <t>&lt;&lt;TSG-08a-data&gt;&gt;</t>
  </si>
  <si>
    <t>TSG-08b</t>
  </si>
  <si>
    <t>&lt;&lt;TSG-08b-data&gt;&gt;</t>
  </si>
  <si>
    <t>TSG-08c</t>
  </si>
  <si>
    <t>&lt;&lt;TSG-08c-data&gt;&gt;</t>
  </si>
  <si>
    <t>TSG-09a</t>
  </si>
  <si>
    <t>&lt;&lt;TSG-09a-data&gt;&gt;</t>
  </si>
  <si>
    <t>TSG-09b</t>
  </si>
  <si>
    <t>&lt;&lt;TSG-09b-data&gt;&gt;</t>
  </si>
  <si>
    <t>TSG-09c</t>
  </si>
  <si>
    <t>&lt;&lt;TSG-09c-data&gt;&gt;</t>
  </si>
  <si>
    <t>TSG-10a</t>
  </si>
  <si>
    <t>&lt;&lt;TSG-10a-data&gt;&gt;</t>
  </si>
  <si>
    <t>TSG-10b</t>
  </si>
  <si>
    <t>&lt;&lt;TSG-10b-data&gt;&gt;</t>
  </si>
  <si>
    <t>TSG-10c</t>
  </si>
  <si>
    <t>&lt;&lt;TSG-10c-data&gt;&gt;</t>
  </si>
  <si>
    <t>TSG-11a</t>
  </si>
  <si>
    <t>&lt;&lt;TSG-11a-data&gt;&gt;</t>
  </si>
  <si>
    <t>TSG-11b</t>
  </si>
  <si>
    <t>&lt;&lt;TSG-11b-data&gt;&gt;</t>
  </si>
  <si>
    <t>TSG-11c</t>
  </si>
  <si>
    <t>&lt;&lt;TSG-11c-data&gt;&gt;</t>
  </si>
  <si>
    <t>TSG-12a</t>
  </si>
  <si>
    <t>&lt;&lt;TSG-12a-data&gt;&gt;</t>
  </si>
  <si>
    <t>TSG-12b</t>
  </si>
  <si>
    <t>&lt;&lt;TSG-12b-data&gt;&gt;</t>
  </si>
  <si>
    <t>TSG-12c</t>
  </si>
  <si>
    <t>&lt;&lt;TSG-12c-data&gt;&gt;</t>
  </si>
  <si>
    <t>RSG-01a</t>
  </si>
  <si>
    <t>&lt;&lt;RSG-01a-data&gt;&gt;</t>
  </si>
  <si>
    <t>RSG-01b</t>
  </si>
  <si>
    <t>&lt;&lt;RSG-01b-data&gt;&gt;</t>
  </si>
  <si>
    <t>RSG-01c</t>
  </si>
  <si>
    <t>&lt;&lt;RSG-01c-data&gt;&gt;</t>
  </si>
  <si>
    <t>RSG-02a</t>
  </si>
  <si>
    <t>&lt;&lt;RSG-02a-data&gt;&gt;</t>
  </si>
  <si>
    <t>RSG-02b</t>
  </si>
  <si>
    <t>&lt;&lt;RSG-02b-data&gt;&gt;</t>
  </si>
  <si>
    <t>RSG-02c</t>
  </si>
  <si>
    <t>&lt;&lt;RSG-02c-data&gt;&gt;</t>
  </si>
  <si>
    <t>OOB-01a</t>
  </si>
  <si>
    <t>&lt;&lt;OOB-01a-data&gt;&gt;</t>
  </si>
  <si>
    <t>OOB-01b</t>
  </si>
  <si>
    <t>&lt;&lt;OOB-01b-data&gt;&gt;</t>
  </si>
  <si>
    <t>OOB-01c</t>
  </si>
  <si>
    <t>&lt;&lt;OOB-01c-data&gt;&gt;</t>
  </si>
  <si>
    <t>OOB-01d</t>
  </si>
  <si>
    <t>&lt;&lt;OOB-01d-data&gt;&gt;</t>
  </si>
  <si>
    <t>OOB-02</t>
  </si>
  <si>
    <t>&lt;&lt;OOB-02-data&gt;&gt;</t>
  </si>
  <si>
    <t>OOB-03</t>
  </si>
  <si>
    <t>&lt;&lt;OOB-03-data&gt;&gt;</t>
  </si>
  <si>
    <t>OOB-04</t>
  </si>
  <si>
    <t>&lt;&lt;OOB-04-data&gt;&gt;</t>
  </si>
  <si>
    <t>OOB-05</t>
  </si>
  <si>
    <t>&lt;&lt;OOB-05-data&gt;&gt;</t>
  </si>
  <si>
    <t>OOB-06a</t>
  </si>
  <si>
    <t>&lt;&lt;OOB-06a-data&gt;&gt;</t>
  </si>
  <si>
    <t>OOB-06b</t>
  </si>
  <si>
    <t>&lt;&lt;OOB-06b-data&gt;&gt;</t>
  </si>
  <si>
    <t>OOB-06c</t>
  </si>
  <si>
    <t>&lt;&lt;OOB-06c-data&gt;&gt;</t>
  </si>
  <si>
    <t>OOB-06d</t>
  </si>
  <si>
    <t>&lt;&lt;OOB-06d-data&gt;&gt;</t>
  </si>
  <si>
    <t>OOB-07a</t>
  </si>
  <si>
    <t>&lt;&lt;OOB-07a-data&gt;&gt;</t>
  </si>
  <si>
    <t>OOB-07b</t>
  </si>
  <si>
    <t>&lt;&lt;OOB-07b-data&gt;&gt;</t>
  </si>
  <si>
    <t>OOB-07c</t>
  </si>
  <si>
    <t>&lt;&lt;OOB-07c-data&gt;&gt;</t>
  </si>
  <si>
    <t>OOB-07d</t>
  </si>
  <si>
    <t>&lt;&lt;OOB-07d-data&gt;&gt;</t>
  </si>
  <si>
    <r>
      <t xml:space="preserve">Product Name </t>
    </r>
    <r>
      <rPr>
        <sz val="8"/>
        <rFont val="Arial"/>
        <family val="2"/>
      </rPr>
      <t>(20 char max)</t>
    </r>
  </si>
  <si>
    <r>
      <t>Part #</t>
    </r>
    <r>
      <rPr>
        <sz val="8"/>
        <rFont val="Arial"/>
        <family val="2"/>
      </rPr>
      <t xml:space="preserve"> (20 char max)</t>
    </r>
  </si>
  <si>
    <r>
      <t>Firmware</t>
    </r>
    <r>
      <rPr>
        <sz val="8"/>
        <rFont val="Arial"/>
        <family val="2"/>
      </rPr>
      <t xml:space="preserve"> (8 char max)</t>
    </r>
  </si>
  <si>
    <r>
      <t>Model #</t>
    </r>
    <r>
      <rPr>
        <sz val="8"/>
        <rFont val="Arial"/>
        <family val="2"/>
      </rPr>
      <t xml:space="preserve"> (40 char max)</t>
    </r>
  </si>
  <si>
    <t>NOTE: Model # and Firmware must match ATA Identify Device Model and Firmware data</t>
  </si>
  <si>
    <r>
      <t>RETEST / PRODUCT FAMILY Information</t>
    </r>
    <r>
      <rPr>
        <b/>
        <u val="single"/>
        <sz val="10"/>
        <rFont val="Arial"/>
        <family val="2"/>
      </rPr>
      <t xml:space="preserve"> - See Section 4.4 of the Policy Document</t>
    </r>
  </si>
  <si>
    <r>
      <t>Product Information</t>
    </r>
    <r>
      <rPr>
        <b/>
        <u val="single"/>
        <sz val="10"/>
        <rFont val="Arial"/>
        <family val="2"/>
      </rPr>
      <t xml:space="preserve"> (See section 4.3 of Policy Document)</t>
    </r>
    <r>
      <rPr>
        <b/>
        <u val="single"/>
        <sz val="12"/>
        <rFont val="Arial"/>
        <family val="2"/>
      </rPr>
      <t xml:space="preserve"> *</t>
    </r>
  </si>
  <si>
    <r>
      <t>Product Capabilities</t>
    </r>
    <r>
      <rPr>
        <b/>
        <u val="single"/>
        <sz val="10"/>
        <rFont val="Arial"/>
        <family val="2"/>
      </rPr>
      <t xml:space="preserve"> (all questions must be answered)</t>
    </r>
  </si>
  <si>
    <r>
      <t>Product Status</t>
    </r>
    <r>
      <rPr>
        <b/>
        <u val="single"/>
        <sz val="10"/>
        <rFont val="Arial"/>
        <family val="2"/>
      </rPr>
      <t xml:space="preserve"> (All questions must be answered)</t>
    </r>
  </si>
  <si>
    <t>2 to 10 products must meet PRODUCT FAMILY or SINGLE FAMILY LISTING requirements
More than 10 must meet SINGLE FAMILY LISTING requirements</t>
  </si>
  <si>
    <r>
      <t>SINGLE FAMILY LISTING Information</t>
    </r>
    <r>
      <rPr>
        <b/>
        <u val="single"/>
        <sz val="10"/>
        <rFont val="Arial"/>
        <family val="2"/>
      </rPr>
      <t xml:space="preserve"> - 40 characters or less for each definition</t>
    </r>
  </si>
  <si>
    <t>PCB change or different (SATA layout, stack up, geometry or material type) (Y/N) ?</t>
  </si>
  <si>
    <t>SATA-IO Interoperability Testing</t>
  </si>
  <si>
    <t>Will you be able to supply the required diagram that clearly identifies the SATA Port numbering for your host (Port 0, 1, 2, 3…) (Y/N)?</t>
  </si>
  <si>
    <r>
      <t>PRODUCT FAMILY LISTING Information</t>
    </r>
    <r>
      <rPr>
        <b/>
        <u val="single"/>
        <sz val="10"/>
        <rFont val="Arial"/>
        <family val="2"/>
      </rPr>
      <t xml:space="preserve"> - 1 to 10 products in one family</t>
    </r>
  </si>
  <si>
    <t>Is this a retest or update submission (Y/N) ?</t>
  </si>
  <si>
    <t>(REQUIRED for ALL product updates, additions or re-submissions)</t>
  </si>
  <si>
    <t>If yes, retest AND product family section required</t>
  </si>
  <si>
    <t>Rev 1.2 (C3)</t>
  </si>
  <si>
    <t>BIST T with A - Align Bypass &amp; S - Bypass Scrambling (Y/N) ?</t>
  </si>
  <si>
    <t>Support HFTP, MFTP, LBP and SSOP ?</t>
  </si>
  <si>
    <t>Host (Internal) Configuration Information</t>
  </si>
  <si>
    <t>HOST: How many different host controller chips on product?</t>
  </si>
  <si>
    <t>Drive(s) attached during power on or BIOS POST (Y/N)?</t>
  </si>
  <si>
    <t>Worst case port number (host)?</t>
  </si>
  <si>
    <t>NOTE: This value is supplied by the Test Lab during pre-test</t>
  </si>
  <si>
    <t>Port</t>
  </si>
  <si>
    <t>Tj Value</t>
  </si>
  <si>
    <t xml:space="preserve">Port </t>
  </si>
  <si>
    <t>Tj value</t>
  </si>
  <si>
    <t>Device (Internal) Configuration Information</t>
  </si>
  <si>
    <t>Building Block Information</t>
  </si>
  <si>
    <t>Test areas supported by building block</t>
  </si>
  <si>
    <t>Phy Electrical (PHY/TSG/OOB test groups) (Y/N)? *</t>
  </si>
  <si>
    <t>Phy</t>
  </si>
  <si>
    <t>Electrical Path (RX/TX test groups) (Y/N)? *</t>
  </si>
  <si>
    <t>RX/TX</t>
  </si>
  <si>
    <t>Reciever Tolerance (RSG test group) (Y/N)? *</t>
  </si>
  <si>
    <t>RSG</t>
  </si>
  <si>
    <t>Digital (GTR, SSP, ASR, IPM, NCQ , PM test groups) (Y/N)? *</t>
  </si>
  <si>
    <t>Mechanical (MDI, MDP, MHI, MXE test groups) (Y/N)? *</t>
  </si>
  <si>
    <t>Mech</t>
  </si>
  <si>
    <t>System Interop (SYS test group) (Y/N)? *</t>
  </si>
  <si>
    <t>Sys Interop</t>
  </si>
  <si>
    <t>11 - Host Controller - Desktop or desktop add-in (PC/dos compatible)</t>
  </si>
  <si>
    <t>12 - Host Controller - Mobile (PC/dos compatible)</t>
  </si>
  <si>
    <t>19 - Host Controller - Other</t>
  </si>
  <si>
    <t>21 - Device - HDD - 3.5" or 2.5"</t>
  </si>
  <si>
    <t>23 - Device - ODD - half height - (no support non-Optical)</t>
  </si>
  <si>
    <t>24 - Device - ODD - slim</t>
  </si>
  <si>
    <t>29 - Device - Other</t>
  </si>
  <si>
    <t>31 - Building Block - Reference Design</t>
  </si>
  <si>
    <t>C3</t>
  </si>
  <si>
    <t>Added support for building blocks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</si>
</sst>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0.000"/>
    <numFmt numFmtId="181" formatCode="0.00_ "/>
    <numFmt numFmtId="182" formatCode="0.0"/>
    <numFmt numFmtId="183" formatCode="[$-409]dddd\,\ mmmm\ dd\,\ yyyy"/>
    <numFmt numFmtId="184" formatCode="mm/dd/yy;@"/>
    <numFmt numFmtId="185" formatCode="00000"/>
    <numFmt numFmtId="186" formatCode="000000000"/>
    <numFmt numFmtId="187" formatCode="[$-409]mmmm\ d\,\ yyyy;@"/>
  </numFmts>
  <fonts count="5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ahoma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9"/>
      <name val="細明體"/>
      <family val="3"/>
    </font>
    <font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12"/>
      <name val="Arial"/>
      <family val="2"/>
    </font>
    <font>
      <sz val="12"/>
      <name val="SimSun"/>
      <family val="0"/>
    </font>
    <font>
      <sz val="12"/>
      <name val="Times New Roman"/>
      <family val="1"/>
    </font>
    <font>
      <b/>
      <sz val="12"/>
      <name val="SimSun"/>
      <family val="0"/>
    </font>
    <font>
      <b/>
      <sz val="10"/>
      <name val="SimSun"/>
      <family val="0"/>
    </font>
    <font>
      <sz val="10"/>
      <name val="SimSun"/>
      <family val="0"/>
    </font>
    <font>
      <sz val="8"/>
      <name val="SimSun"/>
      <family val="0"/>
    </font>
    <font>
      <sz val="10"/>
      <color indexed="17"/>
      <name val="Arial"/>
      <family val="0"/>
    </font>
    <font>
      <sz val="10"/>
      <color indexed="9"/>
      <name val="Arial"/>
      <family val="2"/>
    </font>
    <font>
      <sz val="7"/>
      <name val="Times New Roman"/>
      <family val="1"/>
    </font>
    <font>
      <vertAlign val="subscript"/>
      <sz val="10"/>
      <color indexed="10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7" fillId="17" borderId="1" applyNumberFormat="0" applyFont="0" applyAlignment="0" applyProtection="0"/>
    <xf numFmtId="0" fontId="9" fillId="0" borderId="2" applyNumberFormat="0" applyFill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8" borderId="6" applyNumberFormat="0" applyAlignment="0" applyProtection="0"/>
    <xf numFmtId="0" fontId="17" fillId="19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0" fillId="7" borderId="7" applyNumberFormat="0" applyAlignment="0" applyProtection="0"/>
    <xf numFmtId="0" fontId="21" fillId="19" borderId="8" applyNumberFormat="0" applyAlignment="0" applyProtection="0"/>
    <xf numFmtId="0" fontId="22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24" fillId="0" borderId="0" xfId="39" applyFont="1" applyProtection="1">
      <alignment/>
      <protection/>
    </xf>
    <xf numFmtId="0" fontId="25" fillId="0" borderId="0" xfId="39" applyFont="1" applyProtection="1">
      <alignment/>
      <protection/>
    </xf>
    <xf numFmtId="0" fontId="0" fillId="0" borderId="0" xfId="39" applyFont="1" applyProtection="1" quotePrefix="1">
      <alignment/>
      <protection/>
    </xf>
    <xf numFmtId="0" fontId="0" fillId="0" borderId="0" xfId="39" applyFont="1" applyProtection="1">
      <alignment/>
      <protection/>
    </xf>
    <xf numFmtId="0" fontId="1" fillId="0" borderId="0" xfId="39" applyFont="1" applyProtection="1">
      <alignment/>
      <protection/>
    </xf>
    <xf numFmtId="0" fontId="26" fillId="0" borderId="10" xfId="39" applyFont="1" applyBorder="1" applyAlignment="1" applyProtection="1">
      <alignment/>
      <protection locked="0"/>
    </xf>
    <xf numFmtId="0" fontId="24" fillId="0" borderId="0" xfId="39" applyFont="1" applyBorder="1" applyAlignment="1" applyProtection="1">
      <alignment/>
      <protection/>
    </xf>
    <xf numFmtId="0" fontId="26" fillId="0" borderId="0" xfId="39" applyFont="1" applyBorder="1" applyAlignment="1" applyProtection="1">
      <alignment/>
      <protection/>
    </xf>
    <xf numFmtId="0" fontId="0" fillId="0" borderId="0" xfId="39" applyFont="1" applyAlignment="1" applyProtection="1">
      <alignment vertical="top" wrapText="1"/>
      <protection/>
    </xf>
    <xf numFmtId="0" fontId="24" fillId="0" borderId="0" xfId="39" applyFont="1" applyBorder="1" applyProtection="1">
      <alignment/>
      <protection/>
    </xf>
    <xf numFmtId="0" fontId="25" fillId="0" borderId="0" xfId="39" applyFont="1" applyAlignment="1" applyProtection="1">
      <alignment horizontal="right"/>
      <protection/>
    </xf>
    <xf numFmtId="0" fontId="26" fillId="0" borderId="0" xfId="39" applyFont="1" applyProtection="1">
      <alignment/>
      <protection/>
    </xf>
    <xf numFmtId="0" fontId="0" fillId="0" borderId="0" xfId="39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2" fillId="0" borderId="0" xfId="0" applyFont="1" applyAlignment="1" applyProtection="1">
      <alignment horizontal="left" indent="5"/>
      <protection/>
    </xf>
    <xf numFmtId="0" fontId="2" fillId="0" borderId="0" xfId="0" applyFont="1" applyAlignment="1" applyProtection="1">
      <alignment horizontal="left" indent="9"/>
      <protection/>
    </xf>
    <xf numFmtId="0" fontId="0" fillId="0" borderId="0" xfId="39" applyFont="1" applyBorder="1" applyAlignment="1" applyProtection="1">
      <alignment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24" fillId="0" borderId="0" xfId="39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8" fillId="0" borderId="0" xfId="0" applyFont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vertical="top" wrapText="1"/>
      <protection/>
    </xf>
    <xf numFmtId="0" fontId="29" fillId="0" borderId="13" xfId="0" applyFont="1" applyBorder="1" applyAlignment="1" applyProtection="1">
      <alignment vertical="top" wrapText="1"/>
      <protection/>
    </xf>
    <xf numFmtId="0" fontId="29" fillId="0" borderId="12" xfId="0" applyFont="1" applyBorder="1" applyAlignment="1" applyProtection="1">
      <alignment horizontal="center" vertical="top" wrapText="1"/>
      <protection/>
    </xf>
    <xf numFmtId="0" fontId="30" fillId="24" borderId="12" xfId="0" applyFont="1" applyFill="1" applyBorder="1" applyAlignment="1" applyProtection="1">
      <alignment horizontal="center" vertical="top" wrapText="1"/>
      <protection/>
    </xf>
    <xf numFmtId="0" fontId="29" fillId="0" borderId="12" xfId="0" applyFont="1" applyFill="1" applyBorder="1" applyAlignment="1" applyProtection="1">
      <alignment horizontal="center" vertical="top" wrapText="1"/>
      <protection/>
    </xf>
    <xf numFmtId="0" fontId="29" fillId="0" borderId="12" xfId="0" applyFont="1" applyBorder="1" applyAlignment="1" applyProtection="1">
      <alignment horizontal="center" vertical="top" wrapText="1"/>
      <protection locked="0"/>
    </xf>
    <xf numFmtId="0" fontId="29" fillId="25" borderId="12" xfId="0" applyFont="1" applyFill="1" applyBorder="1" applyAlignment="1" applyProtection="1">
      <alignment horizontal="center" vertical="top" wrapText="1"/>
      <protection/>
    </xf>
    <xf numFmtId="0" fontId="29" fillId="0" borderId="12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19" borderId="12" xfId="0" applyFont="1" applyFill="1" applyBorder="1" applyAlignment="1" applyProtection="1">
      <alignment/>
      <protection/>
    </xf>
    <xf numFmtId="0" fontId="0" fillId="19" borderId="12" xfId="0" applyFont="1" applyFill="1" applyBorder="1" applyAlignment="1" applyProtection="1">
      <alignment horizontal="center"/>
      <protection/>
    </xf>
    <xf numFmtId="0" fontId="31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/>
    </xf>
    <xf numFmtId="0" fontId="32" fillId="0" borderId="12" xfId="0" applyFont="1" applyBorder="1" applyAlignment="1" applyProtection="1">
      <alignment horizontal="center"/>
      <protection/>
    </xf>
    <xf numFmtId="0" fontId="31" fillId="0" borderId="12" xfId="0" applyFont="1" applyBorder="1" applyAlignment="1" applyProtection="1">
      <alignment horizontal="center"/>
      <protection/>
    </xf>
    <xf numFmtId="0" fontId="31" fillId="0" borderId="15" xfId="0" applyFont="1" applyBorder="1" applyAlignment="1" applyProtection="1">
      <alignment horizontal="center"/>
      <protection/>
    </xf>
    <xf numFmtId="0" fontId="0" fillId="16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1" fontId="0" fillId="0" borderId="12" xfId="40" applyNumberFormat="1" applyFont="1" applyBorder="1" applyAlignment="1" applyProtection="1">
      <alignment horizontal="center"/>
      <protection/>
    </xf>
    <xf numFmtId="0" fontId="31" fillId="0" borderId="14" xfId="0" applyFont="1" applyBorder="1" applyAlignment="1" applyProtection="1">
      <alignment/>
      <protection/>
    </xf>
    <xf numFmtId="180" fontId="0" fillId="0" borderId="12" xfId="0" applyNumberFormat="1" applyFont="1" applyBorder="1" applyAlignment="1" applyProtection="1">
      <alignment horizontal="center"/>
      <protection locked="0"/>
    </xf>
    <xf numFmtId="180" fontId="0" fillId="19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vertical="top"/>
      <protection locked="0"/>
    </xf>
    <xf numFmtId="0" fontId="29" fillId="0" borderId="0" xfId="0" applyFont="1" applyAlignment="1" applyProtection="1">
      <alignment horizontal="right"/>
      <protection locked="0"/>
    </xf>
    <xf numFmtId="0" fontId="28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/>
    </xf>
    <xf numFmtId="0" fontId="0" fillId="0" borderId="17" xfId="0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vertical="top"/>
      <protection/>
    </xf>
    <xf numFmtId="0" fontId="29" fillId="0" borderId="13" xfId="0" applyFont="1" applyBorder="1" applyAlignment="1" applyProtection="1">
      <alignment vertical="top"/>
      <protection/>
    </xf>
    <xf numFmtId="0" fontId="29" fillId="0" borderId="12" xfId="0" applyFont="1" applyBorder="1" applyAlignment="1" applyProtection="1">
      <alignment horizontal="center" vertical="top"/>
      <protection/>
    </xf>
    <xf numFmtId="1" fontId="29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/>
      <protection locked="0"/>
    </xf>
    <xf numFmtId="0" fontId="31" fillId="0" borderId="14" xfId="0" applyFont="1" applyBorder="1" applyAlignment="1" applyProtection="1">
      <alignment horizontal="left" vertical="top" wrapText="1"/>
      <protection/>
    </xf>
    <xf numFmtId="0" fontId="31" fillId="0" borderId="15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top"/>
      <protection locked="0"/>
    </xf>
    <xf numFmtId="0" fontId="2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29" fillId="0" borderId="12" xfId="0" applyFont="1" applyBorder="1" applyAlignment="1" applyProtection="1">
      <alignment vertical="top"/>
      <protection locked="0"/>
    </xf>
    <xf numFmtId="0" fontId="29" fillId="0" borderId="12" xfId="0" applyFont="1" applyBorder="1" applyAlignment="1" applyProtection="1">
      <alignment horizontal="center" vertical="top"/>
      <protection locked="0"/>
    </xf>
    <xf numFmtId="0" fontId="29" fillId="0" borderId="18" xfId="0" applyFont="1" applyBorder="1" applyAlignment="1" applyProtection="1">
      <alignment horizontal="center" vertical="top" wrapText="1"/>
      <protection locked="0"/>
    </xf>
    <xf numFmtId="0" fontId="29" fillId="0" borderId="12" xfId="0" applyFont="1" applyBorder="1" applyAlignment="1" applyProtection="1">
      <alignment horizontal="left" vertical="top"/>
      <protection locked="0"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center" vertical="top"/>
      <protection/>
    </xf>
    <xf numFmtId="180" fontId="0" fillId="19" borderId="14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 locked="0"/>
    </xf>
    <xf numFmtId="180" fontId="0" fillId="19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 vertical="top"/>
      <protection/>
    </xf>
    <xf numFmtId="0" fontId="0" fillId="19" borderId="12" xfId="0" applyFill="1" applyBorder="1" applyAlignment="1" applyProtection="1">
      <alignment horizontal="left" vertical="top"/>
      <protection/>
    </xf>
    <xf numFmtId="180" fontId="0" fillId="16" borderId="1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7" fillId="26" borderId="14" xfId="0" applyFont="1" applyFill="1" applyBorder="1" applyAlignment="1" applyProtection="1">
      <alignment horizontal="center" vertical="center"/>
      <protection/>
    </xf>
    <xf numFmtId="0" fontId="36" fillId="26" borderId="12" xfId="0" applyFont="1" applyFill="1" applyBorder="1" applyAlignment="1" applyProtection="1">
      <alignment horizontal="center" vertical="center"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38" fillId="0" borderId="20" xfId="0" applyFont="1" applyBorder="1" applyAlignment="1" applyProtection="1">
      <alignment/>
      <protection/>
    </xf>
    <xf numFmtId="0" fontId="36" fillId="0" borderId="20" xfId="0" applyFont="1" applyBorder="1" applyAlignment="1" applyProtection="1">
      <alignment/>
      <protection/>
    </xf>
    <xf numFmtId="0" fontId="0" fillId="26" borderId="14" xfId="0" applyFill="1" applyBorder="1" applyAlignment="1" applyProtection="1">
      <alignment horizontal="center" vertical="center"/>
      <protection/>
    </xf>
    <xf numFmtId="0" fontId="0" fillId="26" borderId="14" xfId="0" applyFont="1" applyFill="1" applyBorder="1" applyAlignment="1" applyProtection="1">
      <alignment horizontal="center" vertical="center"/>
      <protection/>
    </xf>
    <xf numFmtId="0" fontId="39" fillId="26" borderId="13" xfId="0" applyFont="1" applyFill="1" applyBorder="1" applyAlignment="1" applyProtection="1">
      <alignment/>
      <protection/>
    </xf>
    <xf numFmtId="0" fontId="39" fillId="26" borderId="12" xfId="0" applyFont="1" applyFill="1" applyBorder="1" applyAlignment="1" applyProtection="1">
      <alignment/>
      <protection/>
    </xf>
    <xf numFmtId="0" fontId="39" fillId="26" borderId="15" xfId="0" applyFont="1" applyFill="1" applyBorder="1" applyAlignment="1" applyProtection="1">
      <alignment horizontal="center"/>
      <protection/>
    </xf>
    <xf numFmtId="0" fontId="0" fillId="26" borderId="12" xfId="0" applyFont="1" applyFill="1" applyBorder="1" applyAlignment="1" applyProtection="1">
      <alignment horizontal="center" vertical="center"/>
      <protection/>
    </xf>
    <xf numFmtId="0" fontId="40" fillId="26" borderId="12" xfId="0" applyFont="1" applyFill="1" applyBorder="1" applyAlignment="1" applyProtection="1">
      <alignment horizontal="center" vertical="center"/>
      <protection/>
    </xf>
    <xf numFmtId="0" fontId="0" fillId="25" borderId="21" xfId="0" applyFont="1" applyFill="1" applyBorder="1" applyAlignment="1" applyProtection="1">
      <alignment horizontal="center" vertical="center"/>
      <protection/>
    </xf>
    <xf numFmtId="0" fontId="40" fillId="26" borderId="13" xfId="0" applyFont="1" applyFill="1" applyBorder="1" applyAlignment="1" applyProtection="1">
      <alignment vertical="top"/>
      <protection/>
    </xf>
    <xf numFmtId="0" fontId="40" fillId="0" borderId="12" xfId="0" applyFont="1" applyBorder="1" applyAlignment="1" applyProtection="1">
      <alignment wrapText="1"/>
      <protection/>
    </xf>
    <xf numFmtId="0" fontId="40" fillId="26" borderId="15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/>
    </xf>
    <xf numFmtId="0" fontId="40" fillId="26" borderId="18" xfId="0" applyFont="1" applyFill="1" applyBorder="1" applyAlignment="1" applyProtection="1">
      <alignment vertical="top"/>
      <protection/>
    </xf>
    <xf numFmtId="0" fontId="40" fillId="0" borderId="0" xfId="0" applyFont="1" applyAlignment="1" applyProtection="1">
      <alignment wrapText="1"/>
      <protection/>
    </xf>
    <xf numFmtId="0" fontId="40" fillId="26" borderId="12" xfId="0" applyFont="1" applyFill="1" applyBorder="1" applyAlignment="1" applyProtection="1">
      <alignment horizontal="center"/>
      <protection/>
    </xf>
    <xf numFmtId="0" fontId="40" fillId="26" borderId="18" xfId="0" applyFont="1" applyFill="1" applyBorder="1" applyAlignment="1" applyProtection="1">
      <alignment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40" fillId="26" borderId="13" xfId="0" applyFont="1" applyFill="1" applyBorder="1" applyAlignment="1" applyProtection="1">
      <alignment wrapText="1"/>
      <protection/>
    </xf>
    <xf numFmtId="0" fontId="40" fillId="26" borderId="12" xfId="0" applyFont="1" applyFill="1" applyBorder="1" applyAlignment="1" applyProtection="1">
      <alignment horizontal="center" wrapText="1"/>
      <protection/>
    </xf>
    <xf numFmtId="0" fontId="0" fillId="26" borderId="22" xfId="0" applyFill="1" applyBorder="1" applyAlignment="1" applyProtection="1">
      <alignment horizontal="center"/>
      <protection/>
    </xf>
    <xf numFmtId="0" fontId="0" fillId="26" borderId="14" xfId="0" applyFill="1" applyBorder="1" applyAlignment="1" applyProtection="1">
      <alignment horizontal="center"/>
      <protection/>
    </xf>
    <xf numFmtId="0" fontId="40" fillId="26" borderId="16" xfId="0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 locked="0"/>
    </xf>
    <xf numFmtId="0" fontId="0" fillId="26" borderId="12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26" borderId="12" xfId="0" applyFill="1" applyBorder="1" applyAlignment="1" applyProtection="1">
      <alignment horizontal="center" vertical="center"/>
      <protection/>
    </xf>
    <xf numFmtId="0" fontId="41" fillId="26" borderId="12" xfId="0" applyFont="1" applyFill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/>
      <protection locked="0"/>
    </xf>
    <xf numFmtId="0" fontId="0" fillId="26" borderId="18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9" fillId="0" borderId="14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9" fillId="0" borderId="25" xfId="0" applyFont="1" applyBorder="1" applyAlignment="1" applyProtection="1">
      <alignment/>
      <protection locked="0"/>
    </xf>
    <xf numFmtId="0" fontId="29" fillId="0" borderId="26" xfId="0" applyFont="1" applyBorder="1" applyAlignment="1" applyProtection="1">
      <alignment/>
      <protection locked="0"/>
    </xf>
    <xf numFmtId="0" fontId="29" fillId="0" borderId="27" xfId="0" applyFont="1" applyBorder="1" applyAlignment="1" applyProtection="1">
      <alignment/>
      <protection locked="0"/>
    </xf>
    <xf numFmtId="0" fontId="29" fillId="0" borderId="13" xfId="0" applyFont="1" applyBorder="1" applyAlignment="1" applyProtection="1">
      <alignment/>
      <protection locked="0"/>
    </xf>
    <xf numFmtId="0" fontId="29" fillId="0" borderId="13" xfId="0" applyFont="1" applyBorder="1" applyAlignment="1" applyProtection="1">
      <alignment horizontal="center"/>
      <protection locked="0"/>
    </xf>
    <xf numFmtId="0" fontId="29" fillId="0" borderId="13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42" fillId="0" borderId="15" xfId="0" applyFont="1" applyBorder="1" applyAlignment="1" applyProtection="1">
      <alignment/>
      <protection locked="0"/>
    </xf>
    <xf numFmtId="0" fontId="42" fillId="0" borderId="12" xfId="0" applyFont="1" applyBorder="1" applyAlignment="1" applyProtection="1">
      <alignment/>
      <protection locked="0"/>
    </xf>
    <xf numFmtId="0" fontId="42" fillId="0" borderId="12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26" borderId="13" xfId="0" applyFont="1" applyFill="1" applyBorder="1" applyAlignment="1">
      <alignment/>
    </xf>
    <xf numFmtId="0" fontId="29" fillId="26" borderId="12" xfId="0" applyFont="1" applyFill="1" applyBorder="1" applyAlignment="1">
      <alignment/>
    </xf>
    <xf numFmtId="0" fontId="29" fillId="26" borderId="15" xfId="0" applyFont="1" applyFill="1" applyBorder="1" applyAlignment="1">
      <alignment horizontal="center"/>
    </xf>
    <xf numFmtId="0" fontId="37" fillId="26" borderId="12" xfId="0" applyFont="1" applyFill="1" applyBorder="1" applyAlignment="1">
      <alignment horizontal="center"/>
    </xf>
    <xf numFmtId="0" fontId="0" fillId="25" borderId="12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26" borderId="12" xfId="0" applyFont="1" applyFill="1" applyBorder="1" applyAlignment="1">
      <alignment horizontal="center" wrapText="1"/>
    </xf>
    <xf numFmtId="0" fontId="31" fillId="0" borderId="0" xfId="0" applyFont="1" applyAlignment="1">
      <alignment/>
    </xf>
    <xf numFmtId="0" fontId="0" fillId="16" borderId="12" xfId="0" applyFill="1" applyBorder="1" applyAlignment="1">
      <alignment/>
    </xf>
    <xf numFmtId="0" fontId="0" fillId="0" borderId="12" xfId="0" applyBorder="1" applyAlignment="1">
      <alignment/>
    </xf>
    <xf numFmtId="0" fontId="31" fillId="0" borderId="12" xfId="0" applyFont="1" applyBorder="1" applyAlignment="1">
      <alignment wrapText="1"/>
    </xf>
    <xf numFmtId="0" fontId="43" fillId="25" borderId="18" xfId="0" applyFont="1" applyFill="1" applyBorder="1" applyAlignment="1" applyProtection="1">
      <alignment horizontal="center" vertical="center"/>
      <protection/>
    </xf>
    <xf numFmtId="184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40" fillId="0" borderId="12" xfId="0" applyFont="1" applyBorder="1" applyAlignment="1" applyProtection="1">
      <alignment vertical="top" wrapText="1"/>
      <protection/>
    </xf>
    <xf numFmtId="0" fontId="40" fillId="26" borderId="15" xfId="0" applyFont="1" applyFill="1" applyBorder="1" applyAlignment="1" applyProtection="1">
      <alignment horizontal="center" vertical="top"/>
      <protection/>
    </xf>
    <xf numFmtId="0" fontId="0" fillId="26" borderId="12" xfId="0" applyFill="1" applyBorder="1" applyAlignment="1" applyProtection="1">
      <alignment horizontal="center" vertical="top"/>
      <protection/>
    </xf>
    <xf numFmtId="0" fontId="0" fillId="0" borderId="14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186" fontId="24" fillId="0" borderId="0" xfId="39" applyNumberFormat="1" applyFont="1" applyBorder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186" fontId="28" fillId="0" borderId="0" xfId="39" applyNumberFormat="1" applyFont="1" applyBorder="1" applyAlignment="1" applyProtection="1">
      <alignment horizontal="left"/>
      <protection locked="0"/>
    </xf>
    <xf numFmtId="187" fontId="28" fillId="0" borderId="10" xfId="0" applyNumberFormat="1" applyFont="1" applyBorder="1" applyAlignment="1" applyProtection="1">
      <alignment horizontal="left"/>
      <protection locked="0"/>
    </xf>
    <xf numFmtId="186" fontId="28" fillId="0" borderId="10" xfId="39" applyNumberFormat="1" applyFont="1" applyBorder="1" applyAlignment="1" applyProtection="1">
      <alignment horizontal="left"/>
      <protection locked="0"/>
    </xf>
    <xf numFmtId="0" fontId="24" fillId="26" borderId="14" xfId="0" applyFont="1" applyFill="1" applyBorder="1" applyAlignment="1" applyProtection="1">
      <alignment horizontal="center" vertical="center"/>
      <protection/>
    </xf>
    <xf numFmtId="0" fontId="24" fillId="26" borderId="12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/>
      <protection/>
    </xf>
    <xf numFmtId="0" fontId="35" fillId="0" borderId="20" xfId="0" applyFont="1" applyBorder="1" applyAlignment="1" applyProtection="1">
      <alignment/>
      <protection/>
    </xf>
    <xf numFmtId="186" fontId="28" fillId="0" borderId="21" xfId="39" applyNumberFormat="1" applyFont="1" applyBorder="1" applyAlignment="1" applyProtection="1">
      <alignment/>
      <protection locked="0"/>
    </xf>
    <xf numFmtId="186" fontId="28" fillId="0" borderId="20" xfId="39" applyNumberFormat="1" applyFont="1" applyBorder="1" applyAlignment="1" applyProtection="1">
      <alignment/>
      <protection locked="0"/>
    </xf>
    <xf numFmtId="186" fontId="28" fillId="0" borderId="28" xfId="39" applyNumberFormat="1" applyFont="1" applyBorder="1" applyAlignment="1" applyProtection="1">
      <alignment/>
      <protection locked="0"/>
    </xf>
    <xf numFmtId="0" fontId="0" fillId="26" borderId="14" xfId="0" applyFont="1" applyFill="1" applyBorder="1" applyAlignment="1" applyProtection="1">
      <alignment horizontal="center" vertical="center"/>
      <protection/>
    </xf>
    <xf numFmtId="184" fontId="0" fillId="0" borderId="0" xfId="0" applyNumberFormat="1" applyAlignment="1">
      <alignment horizontal="left" vertical="top"/>
    </xf>
    <xf numFmtId="184" fontId="0" fillId="0" borderId="0" xfId="0" applyNumberFormat="1" applyAlignment="1">
      <alignment horizontal="center" vertical="top"/>
    </xf>
    <xf numFmtId="0" fontId="0" fillId="16" borderId="12" xfId="0" applyFill="1" applyBorder="1" applyAlignment="1" applyProtection="1">
      <alignment horizontal="center"/>
      <protection/>
    </xf>
    <xf numFmtId="0" fontId="0" fillId="16" borderId="12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31" fillId="0" borderId="12" xfId="0" applyFont="1" applyBorder="1" applyAlignment="1" applyProtection="1">
      <alignment horizontal="left"/>
      <protection locked="0"/>
    </xf>
    <xf numFmtId="0" fontId="31" fillId="0" borderId="12" xfId="0" applyFont="1" applyBorder="1" applyAlignment="1" applyProtection="1">
      <alignment horizontal="left" vertical="top" wrapText="1"/>
      <protection/>
    </xf>
    <xf numFmtId="186" fontId="28" fillId="0" borderId="0" xfId="39" applyNumberFormat="1" applyFont="1" applyBorder="1" applyAlignment="1" applyProtection="1">
      <alignment/>
      <protection locked="0"/>
    </xf>
    <xf numFmtId="0" fontId="0" fillId="0" borderId="0" xfId="39" applyFont="1" applyAlignment="1" applyProtection="1">
      <alignment/>
      <protection/>
    </xf>
    <xf numFmtId="0" fontId="26" fillId="0" borderId="0" xfId="39" applyFont="1" applyBorder="1" applyAlignment="1" applyProtection="1">
      <alignment/>
      <protection locked="0"/>
    </xf>
    <xf numFmtId="0" fontId="24" fillId="0" borderId="0" xfId="39" applyFont="1" applyBorder="1" applyAlignment="1" applyProtection="1">
      <alignment horizontal="right"/>
      <protection/>
    </xf>
    <xf numFmtId="0" fontId="47" fillId="0" borderId="0" xfId="39" applyFont="1" applyAlignment="1" applyProtection="1">
      <alignment horizontal="right"/>
      <protection/>
    </xf>
    <xf numFmtId="0" fontId="48" fillId="0" borderId="0" xfId="39" applyFont="1" applyProtection="1">
      <alignment/>
      <protection/>
    </xf>
    <xf numFmtId="0" fontId="24" fillId="0" borderId="0" xfId="39" applyFont="1" applyBorder="1" applyAlignment="1" applyProtection="1">
      <alignment horizontal="left"/>
      <protection/>
    </xf>
    <xf numFmtId="0" fontId="6" fillId="0" borderId="0" xfId="38" applyFont="1" applyBorder="1" applyAlignment="1" applyProtection="1">
      <alignment horizontal="center"/>
      <protection locked="0"/>
    </xf>
    <xf numFmtId="0" fontId="27" fillId="0" borderId="0" xfId="39" applyFont="1" applyProtection="1">
      <alignment/>
      <protection/>
    </xf>
    <xf numFmtId="49" fontId="0" fillId="0" borderId="0" xfId="39" applyNumberFormat="1" applyFont="1" applyBorder="1" applyAlignment="1" applyProtection="1">
      <alignment horizontal="center"/>
      <protection/>
    </xf>
    <xf numFmtId="49" fontId="0" fillId="0" borderId="0" xfId="39" applyNumberFormat="1" applyFont="1" applyBorder="1" applyAlignment="1" applyProtection="1">
      <alignment horizontal="left"/>
      <protection/>
    </xf>
    <xf numFmtId="49" fontId="0" fillId="0" borderId="0" xfId="39" applyNumberFormat="1" applyFont="1" applyBorder="1" applyAlignment="1" applyProtection="1">
      <alignment horizontal="right"/>
      <protection/>
    </xf>
    <xf numFmtId="0" fontId="27" fillId="0" borderId="0" xfId="39" applyFont="1" applyAlignment="1" applyProtection="1">
      <alignment horizontal="left"/>
      <protection/>
    </xf>
    <xf numFmtId="0" fontId="27" fillId="0" borderId="0" xfId="0" applyFont="1" applyAlignment="1" applyProtection="1">
      <alignment/>
      <protection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35" fillId="0" borderId="0" xfId="39" applyFont="1" applyProtection="1">
      <alignment/>
      <protection/>
    </xf>
    <xf numFmtId="0" fontId="24" fillId="0" borderId="10" xfId="39" applyFont="1" applyBorder="1" applyAlignment="1" applyProtection="1">
      <alignment horizontal="left"/>
      <protection locked="0"/>
    </xf>
    <xf numFmtId="0" fontId="0" fillId="0" borderId="25" xfId="39" applyFont="1" applyBorder="1" applyAlignment="1" applyProtection="1">
      <alignment horizontal="left" vertical="top" wrapText="1"/>
      <protection locked="0"/>
    </xf>
    <xf numFmtId="0" fontId="0" fillId="0" borderId="29" xfId="39" applyFont="1" applyBorder="1" applyAlignment="1" applyProtection="1">
      <alignment horizontal="left" vertical="top" wrapText="1"/>
      <protection locked="0"/>
    </xf>
    <xf numFmtId="0" fontId="0" fillId="0" borderId="27" xfId="39" applyFont="1" applyBorder="1" applyAlignment="1" applyProtection="1">
      <alignment horizontal="left" vertical="top" wrapText="1"/>
      <protection locked="0"/>
    </xf>
    <xf numFmtId="0" fontId="0" fillId="0" borderId="22" xfId="39" applyFont="1" applyBorder="1" applyAlignment="1" applyProtection="1">
      <alignment horizontal="left" vertical="top" wrapText="1"/>
      <protection locked="0"/>
    </xf>
    <xf numFmtId="0" fontId="0" fillId="0" borderId="20" xfId="39" applyFont="1" applyBorder="1" applyAlignment="1" applyProtection="1">
      <alignment horizontal="left" vertical="top" wrapText="1"/>
      <protection locked="0"/>
    </xf>
    <xf numFmtId="0" fontId="0" fillId="0" borderId="28" xfId="39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11" xfId="39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/>
    </xf>
    <xf numFmtId="0" fontId="0" fillId="0" borderId="10" xfId="39" applyFont="1" applyBorder="1" applyAlignment="1" applyProtection="1">
      <alignment horizontal="left"/>
      <protection locked="0"/>
    </xf>
    <xf numFmtId="0" fontId="0" fillId="0" borderId="0" xfId="0" applyAlignment="1" applyProtection="1">
      <alignment vertical="top" wrapText="1"/>
      <protection/>
    </xf>
    <xf numFmtId="0" fontId="0" fillId="0" borderId="0" xfId="39" applyFont="1" applyAlignment="1" applyProtection="1">
      <alignment vertical="top" wrapText="1"/>
      <protection/>
    </xf>
    <xf numFmtId="186" fontId="24" fillId="0" borderId="10" xfId="39" applyNumberFormat="1" applyFont="1" applyBorder="1" applyAlignment="1" applyProtection="1">
      <alignment horizontal="left"/>
      <protection locked="0"/>
    </xf>
    <xf numFmtId="0" fontId="26" fillId="0" borderId="11" xfId="38" applyFont="1" applyBorder="1" applyAlignment="1" applyProtection="1">
      <alignment horizontal="left"/>
      <protection locked="0"/>
    </xf>
    <xf numFmtId="0" fontId="6" fillId="0" borderId="11" xfId="38" applyFont="1" applyBorder="1" applyAlignment="1" applyProtection="1">
      <alignment horizontal="left"/>
      <protection locked="0"/>
    </xf>
    <xf numFmtId="0" fontId="29" fillId="0" borderId="0" xfId="39" applyFont="1" applyAlignment="1" applyProtection="1">
      <alignment horizontal="left" vertical="top" wrapText="1"/>
      <protection/>
    </xf>
    <xf numFmtId="187" fontId="28" fillId="0" borderId="10" xfId="0" applyNumberFormat="1" applyFont="1" applyBorder="1" applyAlignment="1" applyProtection="1">
      <alignment horizontal="left"/>
      <protection locked="0"/>
    </xf>
    <xf numFmtId="186" fontId="28" fillId="0" borderId="10" xfId="39" applyNumberFormat="1" applyFont="1" applyBorder="1" applyAlignment="1" applyProtection="1">
      <alignment horizontal="left"/>
      <protection locked="0"/>
    </xf>
    <xf numFmtId="186" fontId="28" fillId="0" borderId="11" xfId="39" applyNumberFormat="1" applyFont="1" applyBorder="1" applyAlignment="1" applyProtection="1">
      <alignment horizontal="left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29" fillId="0" borderId="23" xfId="0" applyFont="1" applyBorder="1" applyAlignment="1" applyProtection="1">
      <alignment horizontal="center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0" fillId="26" borderId="22" xfId="0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26" borderId="14" xfId="0" applyFill="1" applyBorder="1" applyAlignment="1" applyProtection="1">
      <alignment horizontal="center"/>
      <protection/>
    </xf>
    <xf numFmtId="0" fontId="24" fillId="26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36" fillId="26" borderId="14" xfId="0" applyFont="1" applyFill="1" applyBorder="1" applyAlignment="1" applyProtection="1">
      <alignment horizontal="center" vertical="center"/>
      <protection/>
    </xf>
    <xf numFmtId="0" fontId="36" fillId="0" borderId="15" xfId="0" applyFont="1" applyBorder="1" applyAlignment="1" applyProtection="1">
      <alignment horizontal="center" vertical="center"/>
      <protection/>
    </xf>
    <xf numFmtId="0" fontId="36" fillId="26" borderId="15" xfId="0" applyFont="1" applyFill="1" applyBorder="1" applyAlignment="1" applyProtection="1">
      <alignment horizontal="center" vertical="center"/>
      <protection/>
    </xf>
    <xf numFmtId="0" fontId="0" fillId="26" borderId="14" xfId="0" applyFill="1" applyBorder="1" applyAlignment="1" applyProtection="1">
      <alignment horizontal="center" vertical="center"/>
      <protection/>
    </xf>
    <xf numFmtId="0" fontId="0" fillId="26" borderId="15" xfId="0" applyFill="1" applyBorder="1" applyAlignment="1" applyProtection="1">
      <alignment horizontal="center" vertical="center"/>
      <protection/>
    </xf>
    <xf numFmtId="0" fontId="0" fillId="26" borderId="15" xfId="0" applyFill="1" applyBorder="1" applyAlignment="1" applyProtection="1">
      <alignment horizontal="center"/>
      <protection/>
    </xf>
    <xf numFmtId="0" fontId="0" fillId="26" borderId="13" xfId="0" applyFont="1" applyFill="1" applyBorder="1" applyAlignment="1">
      <alignment vertical="top"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39" applyFont="1" applyAlignment="1" applyProtection="1">
      <alignment horizontal="left" indent="2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10" xfId="39" applyNumberFormat="1" applyFont="1" applyBorder="1" applyAlignment="1" applyProtection="1">
      <alignment horizontal="left" vertical="top"/>
      <protection locked="0"/>
    </xf>
    <xf numFmtId="49" fontId="0" fillId="0" borderId="10" xfId="39" applyNumberFormat="1" applyFont="1" applyBorder="1" applyAlignment="1" applyProtection="1">
      <alignment horizontal="center"/>
      <protection locked="0"/>
    </xf>
    <xf numFmtId="49" fontId="0" fillId="0" borderId="10" xfId="39" applyNumberFormat="1" applyFont="1" applyBorder="1" applyAlignment="1" applyProtection="1">
      <alignment horizontal="right"/>
      <protection locked="0"/>
    </xf>
    <xf numFmtId="49" fontId="0" fillId="0" borderId="10" xfId="39" applyNumberFormat="1" applyFont="1" applyBorder="1" applyAlignment="1" applyProtection="1">
      <alignment horizontal="left"/>
      <protection locked="0"/>
    </xf>
    <xf numFmtId="49" fontId="0" fillId="0" borderId="11" xfId="39" applyNumberFormat="1" applyFont="1" applyBorder="1" applyAlignment="1" applyProtection="1">
      <alignment horizontal="right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07-02-EAX-001-E01_S707070231E0" xfId="39"/>
    <cellStyle name="Percent" xfId="40"/>
    <cellStyle name="中等" xfId="41"/>
    <cellStyle name="備註" xfId="42"/>
    <cellStyle name="合計" xfId="43"/>
    <cellStyle name="壞" xfId="44"/>
    <cellStyle name="好" xfId="45"/>
    <cellStyle name="標題" xfId="46"/>
    <cellStyle name="標題 1" xfId="47"/>
    <cellStyle name="標題 2" xfId="48"/>
    <cellStyle name="標題 3" xfId="49"/>
    <cellStyle name="標題 4" xfId="50"/>
    <cellStyle name="檢查儲存格" xfId="51"/>
    <cellStyle name="計算方式" xfId="52"/>
    <cellStyle name="說明文字" xfId="53"/>
    <cellStyle name="警告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輸入" xfId="61"/>
    <cellStyle name="輸出" xfId="62"/>
    <cellStyle name="連結的儲存格" xfId="63"/>
  </cellStyles>
  <dxfs count="10">
    <dxf>
      <fill>
        <patternFill>
          <bgColor rgb="FFFF0000"/>
        </patternFill>
      </fill>
      <border/>
    </dxf>
    <dxf>
      <font>
        <color rgb="FFFFFFFF"/>
      </font>
      <fill>
        <patternFill>
          <bgColor rgb="FF008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u val="none"/>
        <color rgb="FFFFFFFF"/>
      </font>
      <fill>
        <patternFill>
          <bgColor rgb="FF00FF00"/>
        </patternFill>
      </fill>
      <border/>
    </dxf>
    <dxf>
      <font>
        <u val="single"/>
        <color rgb="FFFF0000"/>
      </font>
      <border/>
    </dxf>
    <dxf>
      <font>
        <u val="single"/>
        <color rgb="FFFF9900"/>
      </font>
      <border/>
    </dxf>
    <dxf>
      <font>
        <u val="none"/>
        <color auto="1"/>
      </font>
      <border/>
    </dxf>
    <dxf>
      <font>
        <u val="single"/>
        <strike val="0"/>
        <color rgb="FFFF99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none"/>
        <color auto="1"/>
      </font>
      <fill>
        <patternFill>
          <bgColor rgb="FF00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3"/>
  <sheetViews>
    <sheetView tabSelected="1" workbookViewId="0" topLeftCell="A1">
      <selection activeCell="D3" sqref="D3"/>
    </sheetView>
  </sheetViews>
  <sheetFormatPr defaultColWidth="9.140625" defaultRowHeight="12.75"/>
  <cols>
    <col min="1" max="1" width="4.7109375" style="1" customWidth="1"/>
    <col min="2" max="2" width="4.57421875" style="1" customWidth="1"/>
    <col min="3" max="3" width="21.28125" style="1" customWidth="1"/>
    <col min="4" max="9" width="10.7109375" style="1" customWidth="1"/>
    <col min="10" max="10" width="12.28125" style="1" customWidth="1"/>
    <col min="11" max="16384" width="10.7109375" style="1" customWidth="1"/>
  </cols>
  <sheetData>
    <row r="1" spans="4:9" ht="15">
      <c r="D1" s="1" t="s">
        <v>631</v>
      </c>
      <c r="I1" s="11" t="str">
        <f>IF(OR(ISBLANK(D5),ISBLANK(D7),ISBLANK(D9),I11="INCOMPLETE",I43="INCOMPLETE",I74="INCOMPLETE",I81="INCOMPLETE",I90="INCOMPLETE",I112="INCOMPLETE",I121="INCOMPLETE",I141="INCOMPLETE",I147="INCOMPLETE"),"INCOMPLETE","COMPLETE")</f>
        <v>INCOMPLETE</v>
      </c>
    </row>
    <row r="2" ht="15">
      <c r="I2" s="13" t="s">
        <v>637</v>
      </c>
    </row>
    <row r="3" ht="60" customHeight="1"/>
    <row r="4" ht="15"/>
    <row r="5" spans="1:8" ht="15" thickBot="1">
      <c r="A5" s="1" t="s">
        <v>19</v>
      </c>
      <c r="D5" s="232"/>
      <c r="E5" s="232"/>
      <c r="F5" s="232"/>
      <c r="G5" s="232"/>
      <c r="H5" s="232"/>
    </row>
    <row r="7" spans="1:9" ht="15" thickBot="1">
      <c r="A7" s="1" t="s">
        <v>410</v>
      </c>
      <c r="D7" s="250"/>
      <c r="E7" s="250"/>
      <c r="I7" s="13" t="s">
        <v>415</v>
      </c>
    </row>
    <row r="9" spans="1:10" ht="15" thickBot="1">
      <c r="A9" s="1" t="s">
        <v>411</v>
      </c>
      <c r="D9" s="232"/>
      <c r="E9" s="232"/>
      <c r="F9" s="232"/>
      <c r="G9" s="232"/>
      <c r="H9" s="232"/>
      <c r="I9" s="232"/>
      <c r="J9" s="7"/>
    </row>
    <row r="11" spans="1:9" ht="15">
      <c r="A11" s="222" t="s">
        <v>626</v>
      </c>
      <c r="I11" s="11" t="str">
        <f>IF(OR(ISBLANK(I13),ISBLANK(I14),ISBLANK(I15),ISBLANK(I16),ISBLANK(I17),ISBLANK(I18),ISBLANK(I20),ISBLANK(I23),ISBLANK(I25),ISBLANK(G26),ISBLANK(I28),ISBLANK(G29),ISBLANK(G30),ISBLANK(G31)),"INCOMPLETE","COMPLETE")</f>
        <v>INCOMPLETE</v>
      </c>
    </row>
    <row r="12" spans="1:5" ht="15">
      <c r="A12" s="4" t="s">
        <v>0</v>
      </c>
      <c r="B12" s="4"/>
      <c r="C12" s="4"/>
      <c r="D12" s="4"/>
      <c r="E12" s="12"/>
    </row>
    <row r="13" spans="1:10" s="15" customFormat="1" ht="13.5" thickBot="1">
      <c r="A13" s="14"/>
      <c r="B13" s="4" t="s">
        <v>454</v>
      </c>
      <c r="C13" s="4"/>
      <c r="D13" s="14"/>
      <c r="E13" s="14"/>
      <c r="G13" s="15" t="s">
        <v>444</v>
      </c>
      <c r="I13" s="6"/>
      <c r="J13" s="16"/>
    </row>
    <row r="14" spans="1:10" s="15" customFormat="1" ht="13.5" thickBot="1">
      <c r="A14" s="14"/>
      <c r="B14" s="4" t="s">
        <v>455</v>
      </c>
      <c r="C14" s="4"/>
      <c r="D14" s="14"/>
      <c r="E14" s="14"/>
      <c r="G14" s="15" t="s">
        <v>445</v>
      </c>
      <c r="I14" s="6"/>
      <c r="J14" s="16"/>
    </row>
    <row r="15" spans="1:10" s="15" customFormat="1" ht="13.5" thickBot="1">
      <c r="A15" s="14"/>
      <c r="B15" s="4" t="s">
        <v>456</v>
      </c>
      <c r="C15" s="4"/>
      <c r="D15" s="14"/>
      <c r="E15" s="14"/>
      <c r="G15" s="15" t="s">
        <v>446</v>
      </c>
      <c r="I15" s="6"/>
      <c r="J15" s="16"/>
    </row>
    <row r="16" spans="1:10" s="15" customFormat="1" ht="13.5" thickBot="1">
      <c r="A16" s="14"/>
      <c r="B16" s="4" t="s">
        <v>457</v>
      </c>
      <c r="C16" s="4"/>
      <c r="D16" s="14"/>
      <c r="E16" s="14"/>
      <c r="G16" s="15" t="s">
        <v>447</v>
      </c>
      <c r="I16" s="6"/>
      <c r="J16" s="16"/>
    </row>
    <row r="17" spans="1:10" s="15" customFormat="1" ht="13.5" thickBot="1">
      <c r="A17" s="14"/>
      <c r="B17" s="4" t="s">
        <v>458</v>
      </c>
      <c r="C17" s="4"/>
      <c r="D17" s="14"/>
      <c r="E17" s="14"/>
      <c r="G17" s="15" t="s">
        <v>448</v>
      </c>
      <c r="I17" s="6"/>
      <c r="J17" s="16"/>
    </row>
    <row r="18" spans="1:10" s="15" customFormat="1" ht="13.5" thickBot="1">
      <c r="A18" s="14"/>
      <c r="B18" s="4" t="s">
        <v>459</v>
      </c>
      <c r="C18" s="4"/>
      <c r="D18" s="14"/>
      <c r="E18" s="14"/>
      <c r="G18" s="15" t="s">
        <v>449</v>
      </c>
      <c r="I18" s="6"/>
      <c r="J18" s="16"/>
    </row>
    <row r="19" spans="1:9" s="15" customFormat="1" ht="12.75">
      <c r="A19" s="14"/>
      <c r="B19" s="4"/>
      <c r="C19" s="4"/>
      <c r="D19" s="14"/>
      <c r="E19" s="14"/>
      <c r="I19" s="16"/>
    </row>
    <row r="20" spans="1:10" s="15" customFormat="1" ht="13.5" thickBot="1">
      <c r="A20" s="14"/>
      <c r="B20" s="4" t="s">
        <v>460</v>
      </c>
      <c r="C20" s="4"/>
      <c r="D20" s="14"/>
      <c r="E20" s="14"/>
      <c r="G20" s="15" t="s">
        <v>83</v>
      </c>
      <c r="I20" s="6"/>
      <c r="J20" s="16"/>
    </row>
    <row r="21" spans="1:10" s="15" customFormat="1" ht="15" thickBot="1">
      <c r="A21" s="14"/>
      <c r="B21" s="4"/>
      <c r="C21" s="4" t="s">
        <v>46</v>
      </c>
      <c r="D21" s="14"/>
      <c r="E21" s="14"/>
      <c r="G21" s="6"/>
      <c r="I21" s="1"/>
      <c r="J21" s="16"/>
    </row>
    <row r="22" spans="1:10" s="15" customFormat="1" ht="15">
      <c r="A22" s="14"/>
      <c r="B22" s="4"/>
      <c r="C22" s="4"/>
      <c r="D22" s="14"/>
      <c r="E22" s="14"/>
      <c r="G22" s="8"/>
      <c r="I22" s="1"/>
      <c r="J22" s="16"/>
    </row>
    <row r="23" spans="1:10" s="15" customFormat="1" ht="13.5" thickBot="1">
      <c r="A23" s="14"/>
      <c r="B23" s="4" t="s">
        <v>47</v>
      </c>
      <c r="C23" s="4"/>
      <c r="D23" s="14"/>
      <c r="E23" s="14"/>
      <c r="I23" s="6"/>
      <c r="J23" s="16"/>
    </row>
    <row r="24" spans="1:9" s="15" customFormat="1" ht="12.75">
      <c r="A24" s="14"/>
      <c r="B24" s="4"/>
      <c r="C24" s="4"/>
      <c r="D24" s="14"/>
      <c r="E24" s="14"/>
      <c r="I24" s="16"/>
    </row>
    <row r="25" spans="1:10" s="15" customFormat="1" ht="13.5" thickBot="1">
      <c r="A25" s="14"/>
      <c r="B25" s="4" t="s">
        <v>48</v>
      </c>
      <c r="C25" s="4"/>
      <c r="D25" s="14"/>
      <c r="E25" s="14"/>
      <c r="I25" s="6"/>
      <c r="J25" s="16"/>
    </row>
    <row r="26" spans="1:10" s="15" customFormat="1" ht="15" thickBot="1">
      <c r="A26" s="14"/>
      <c r="B26" s="4"/>
      <c r="C26" s="4" t="s">
        <v>49</v>
      </c>
      <c r="D26" s="14"/>
      <c r="E26" s="14"/>
      <c r="G26" s="6"/>
      <c r="I26" s="1"/>
      <c r="J26" s="16"/>
    </row>
    <row r="27" spans="1:12" s="15" customFormat="1" ht="15">
      <c r="A27" s="14"/>
      <c r="B27" s="4"/>
      <c r="C27" s="4"/>
      <c r="D27" s="14"/>
      <c r="E27" s="14"/>
      <c r="G27" s="8"/>
      <c r="I27" s="1"/>
      <c r="J27" s="16"/>
      <c r="L27" s="34"/>
    </row>
    <row r="28" spans="1:10" s="15" customFormat="1" ht="13.5" thickBot="1">
      <c r="A28" s="14"/>
      <c r="B28" s="4" t="s">
        <v>50</v>
      </c>
      <c r="C28" s="4"/>
      <c r="D28" s="14"/>
      <c r="E28" s="14"/>
      <c r="I28" s="6"/>
      <c r="J28" s="16"/>
    </row>
    <row r="29" spans="1:10" s="15" customFormat="1" ht="15" thickBot="1">
      <c r="A29" s="14"/>
      <c r="B29" s="4"/>
      <c r="C29" s="4" t="s">
        <v>638</v>
      </c>
      <c r="D29" s="14"/>
      <c r="E29" s="14"/>
      <c r="G29" s="6"/>
      <c r="I29" s="1"/>
      <c r="J29" s="16"/>
    </row>
    <row r="30" spans="1:10" s="15" customFormat="1" ht="15" thickBot="1">
      <c r="A30" s="14"/>
      <c r="B30" s="4"/>
      <c r="C30" s="279" t="s">
        <v>639</v>
      </c>
      <c r="D30" s="14"/>
      <c r="E30" s="14"/>
      <c r="G30" s="6"/>
      <c r="I30" s="1"/>
      <c r="J30" s="16"/>
    </row>
    <row r="31" spans="1:10" s="15" customFormat="1" ht="15" thickBot="1">
      <c r="A31" s="14"/>
      <c r="B31" s="4"/>
      <c r="C31" s="4" t="s">
        <v>51</v>
      </c>
      <c r="D31" s="14"/>
      <c r="E31" s="14"/>
      <c r="G31" s="6"/>
      <c r="I31" s="1"/>
      <c r="J31" s="16"/>
    </row>
    <row r="33" spans="1:10" s="15" customFormat="1" ht="13.5" thickBot="1">
      <c r="A33" s="17"/>
      <c r="B33" s="17" t="s">
        <v>2</v>
      </c>
      <c r="C33" s="17"/>
      <c r="D33" s="17"/>
      <c r="E33" s="17"/>
      <c r="F33" s="17"/>
      <c r="G33" s="17"/>
      <c r="H33" s="17"/>
      <c r="I33" s="6"/>
      <c r="J33" s="17"/>
    </row>
    <row r="34" spans="1:10" s="15" customFormat="1" ht="5.25" customHeight="1">
      <c r="A34" s="17"/>
      <c r="B34" s="17"/>
      <c r="C34" s="17"/>
      <c r="D34" s="17"/>
      <c r="E34" s="17"/>
      <c r="F34" s="17"/>
      <c r="G34" s="17"/>
      <c r="H34" s="17"/>
      <c r="I34" s="8"/>
      <c r="J34" s="17"/>
    </row>
    <row r="35" spans="1:10" s="15" customFormat="1" ht="15">
      <c r="A35" s="10"/>
      <c r="B35" s="239" t="s">
        <v>45</v>
      </c>
      <c r="C35" s="240"/>
      <c r="D35" s="240"/>
      <c r="E35" s="240"/>
      <c r="F35" s="240"/>
      <c r="G35" s="240"/>
      <c r="H35" s="228"/>
      <c r="I35" s="18"/>
      <c r="J35" s="18"/>
    </row>
    <row r="36" spans="1:10" s="15" customFormat="1" ht="12.75">
      <c r="A36" s="18"/>
      <c r="B36" s="229"/>
      <c r="C36" s="230"/>
      <c r="D36" s="230"/>
      <c r="E36" s="230"/>
      <c r="F36" s="230"/>
      <c r="G36" s="230"/>
      <c r="H36" s="241"/>
      <c r="I36" s="18"/>
      <c r="J36" s="18"/>
    </row>
    <row r="37" spans="1:10" s="15" customFormat="1" ht="12.7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s="15" customFormat="1" ht="15">
      <c r="A38" s="10"/>
      <c r="B38" s="239" t="s">
        <v>1</v>
      </c>
      <c r="C38" s="240"/>
      <c r="D38" s="240"/>
      <c r="E38" s="240"/>
      <c r="F38" s="240"/>
      <c r="G38" s="240"/>
      <c r="H38" s="228"/>
      <c r="I38" s="18"/>
      <c r="J38" s="18"/>
    </row>
    <row r="39" spans="1:10" s="15" customFormat="1" ht="12.75">
      <c r="A39" s="18"/>
      <c r="B39" s="242"/>
      <c r="C39" s="243"/>
      <c r="D39" s="243"/>
      <c r="E39" s="243"/>
      <c r="F39" s="243"/>
      <c r="G39" s="243"/>
      <c r="H39" s="244"/>
      <c r="I39" s="18"/>
      <c r="J39" s="18"/>
    </row>
    <row r="40" spans="1:10" s="15" customFormat="1" ht="12.75">
      <c r="A40" s="18"/>
      <c r="B40" s="242"/>
      <c r="C40" s="243"/>
      <c r="D40" s="243"/>
      <c r="E40" s="243"/>
      <c r="F40" s="243"/>
      <c r="G40" s="243"/>
      <c r="H40" s="244"/>
      <c r="I40" s="18"/>
      <c r="J40" s="18"/>
    </row>
    <row r="41" spans="1:10" s="15" customFormat="1" ht="12.75">
      <c r="A41" s="17"/>
      <c r="B41" s="229"/>
      <c r="C41" s="230"/>
      <c r="D41" s="230"/>
      <c r="E41" s="230"/>
      <c r="F41" s="230"/>
      <c r="G41" s="230"/>
      <c r="H41" s="241"/>
      <c r="I41" s="18"/>
      <c r="J41" s="17"/>
    </row>
    <row r="42" s="15" customFormat="1" ht="12.75"/>
    <row r="43" spans="1:9" s="15" customFormat="1" ht="15">
      <c r="A43" s="227" t="s">
        <v>640</v>
      </c>
      <c r="I43" s="11" t="str">
        <f>IF(OR(LEFT($D$9,1)="1",LEFT($D$9,1)="4"),IF(OR(ISBLANK(I44),ISBLANK(I47),AND(ISBLANK(I48),ISBLANK(I49),ISBLANK(I50)),ISBLANK(I55),ISBLANK(I59),ISBLANK(I61)),"INCOMPLETE","COMPLETE"),"N/A")</f>
        <v>N/A</v>
      </c>
    </row>
    <row r="44" spans="1:18" s="15" customFormat="1" ht="13.5" thickBot="1">
      <c r="A44" s="15" t="s">
        <v>641</v>
      </c>
      <c r="I44" s="6"/>
      <c r="J44" s="16"/>
      <c r="K44" s="19"/>
      <c r="L44" s="14"/>
      <c r="M44" s="14"/>
      <c r="N44" s="14"/>
      <c r="O44" s="14"/>
      <c r="P44" s="14"/>
      <c r="Q44" s="14"/>
      <c r="R44" s="14"/>
    </row>
    <row r="45" spans="2:18" s="15" customFormat="1" ht="12.75">
      <c r="B45" s="15" t="s">
        <v>3</v>
      </c>
      <c r="K45" s="20"/>
      <c r="L45" s="14"/>
      <c r="M45" s="14"/>
      <c r="N45" s="14"/>
      <c r="O45" s="14"/>
      <c r="P45" s="14"/>
      <c r="Q45" s="14"/>
      <c r="R45" s="14"/>
    </row>
    <row r="46" spans="11:18" s="15" customFormat="1" ht="12.75">
      <c r="K46" s="19"/>
      <c r="L46" s="14"/>
      <c r="M46" s="14"/>
      <c r="N46" s="14"/>
      <c r="O46" s="14"/>
      <c r="P46" s="14"/>
      <c r="Q46" s="14"/>
      <c r="R46" s="14"/>
    </row>
    <row r="47" spans="1:16" s="15" customFormat="1" ht="13.5" thickBot="1">
      <c r="A47" s="15" t="s">
        <v>4</v>
      </c>
      <c r="I47" s="6"/>
      <c r="J47" s="14"/>
      <c r="K47" s="14"/>
      <c r="L47" s="14"/>
      <c r="M47" s="14"/>
      <c r="N47" s="14"/>
      <c r="O47" s="14"/>
      <c r="P47" s="14"/>
    </row>
    <row r="48" spans="2:16" s="15" customFormat="1" ht="13.5" thickBot="1">
      <c r="B48" s="15" t="s">
        <v>5</v>
      </c>
      <c r="I48" s="6"/>
      <c r="J48" s="14"/>
      <c r="K48" s="14"/>
      <c r="L48" s="14"/>
      <c r="M48" s="14"/>
      <c r="N48" s="14"/>
      <c r="O48" s="14"/>
      <c r="P48" s="14"/>
    </row>
    <row r="49" spans="2:16" s="15" customFormat="1" ht="13.5" thickBot="1">
      <c r="B49" s="15" t="s">
        <v>642</v>
      </c>
      <c r="I49" s="6"/>
      <c r="J49" s="14"/>
      <c r="K49" s="14"/>
      <c r="L49" s="14"/>
      <c r="M49" s="14"/>
      <c r="N49" s="14"/>
      <c r="O49" s="14"/>
      <c r="P49" s="14"/>
    </row>
    <row r="50" spans="2:16" s="15" customFormat="1" ht="13.5" thickBot="1">
      <c r="B50" s="15" t="s">
        <v>6</v>
      </c>
      <c r="I50" s="6"/>
      <c r="J50" s="14"/>
      <c r="K50" s="14"/>
      <c r="L50" s="14"/>
      <c r="M50" s="14"/>
      <c r="N50" s="14"/>
      <c r="O50" s="14"/>
      <c r="P50" s="14"/>
    </row>
    <row r="51" spans="9:16" s="15" customFormat="1" ht="6" customHeight="1">
      <c r="I51" s="8"/>
      <c r="J51" s="14"/>
      <c r="K51" s="14"/>
      <c r="L51" s="14"/>
      <c r="M51" s="14"/>
      <c r="N51" s="14"/>
      <c r="O51" s="14"/>
      <c r="P51" s="14"/>
    </row>
    <row r="52" spans="1:9" ht="15" customHeight="1">
      <c r="A52" s="4"/>
      <c r="B52" s="233" t="s">
        <v>17</v>
      </c>
      <c r="C52" s="234"/>
      <c r="D52" s="234"/>
      <c r="E52" s="234"/>
      <c r="F52" s="234"/>
      <c r="G52" s="234"/>
      <c r="H52" s="235"/>
      <c r="I52" s="21"/>
    </row>
    <row r="53" spans="1:9" ht="15">
      <c r="A53" s="4"/>
      <c r="B53" s="236"/>
      <c r="C53" s="237"/>
      <c r="D53" s="237"/>
      <c r="E53" s="237"/>
      <c r="F53" s="237"/>
      <c r="G53" s="237"/>
      <c r="H53" s="238"/>
      <c r="I53" s="21"/>
    </row>
    <row r="54" spans="11:18" s="15" customFormat="1" ht="12.75">
      <c r="K54" s="19"/>
      <c r="L54" s="14"/>
      <c r="M54" s="14"/>
      <c r="N54" s="14"/>
      <c r="O54" s="14"/>
      <c r="P54" s="14"/>
      <c r="Q54" s="14"/>
      <c r="R54" s="14"/>
    </row>
    <row r="55" spans="1:18" s="15" customFormat="1" ht="13.5" customHeight="1" thickBot="1">
      <c r="A55" s="246" t="s">
        <v>632</v>
      </c>
      <c r="B55" s="246"/>
      <c r="C55" s="246"/>
      <c r="D55" s="246"/>
      <c r="E55" s="246"/>
      <c r="F55" s="246"/>
      <c r="G55" s="246"/>
      <c r="H55" s="22"/>
      <c r="I55" s="6"/>
      <c r="K55" s="20"/>
      <c r="L55" s="14"/>
      <c r="M55" s="14"/>
      <c r="N55" s="14"/>
      <c r="O55" s="14"/>
      <c r="P55" s="14"/>
      <c r="Q55" s="14"/>
      <c r="R55" s="14"/>
    </row>
    <row r="56" spans="1:18" s="15" customFormat="1" ht="12.75">
      <c r="A56" s="246"/>
      <c r="B56" s="246"/>
      <c r="C56" s="246"/>
      <c r="D56" s="246"/>
      <c r="E56" s="246"/>
      <c r="F56" s="246"/>
      <c r="G56" s="246"/>
      <c r="H56" s="22"/>
      <c r="I56" s="16"/>
      <c r="J56" s="16"/>
      <c r="K56" s="20"/>
      <c r="L56" s="14"/>
      <c r="M56" s="14"/>
      <c r="N56" s="14"/>
      <c r="O56" s="14"/>
      <c r="P56" s="14"/>
      <c r="Q56" s="14"/>
      <c r="R56" s="14"/>
    </row>
    <row r="57" spans="1:18" s="15" customFormat="1" ht="12.75">
      <c r="A57" s="23"/>
      <c r="B57" s="23"/>
      <c r="C57" s="23"/>
      <c r="D57" s="23"/>
      <c r="E57" s="23"/>
      <c r="F57" s="23"/>
      <c r="G57" s="24"/>
      <c r="H57" s="24"/>
      <c r="K57" s="19"/>
      <c r="L57" s="14"/>
      <c r="M57" s="14"/>
      <c r="N57" s="14"/>
      <c r="O57" s="14"/>
      <c r="P57" s="14"/>
      <c r="Q57" s="14"/>
      <c r="R57" s="14"/>
    </row>
    <row r="58" spans="1:18" s="15" customFormat="1" ht="12.75">
      <c r="A58" s="15" t="s">
        <v>7</v>
      </c>
      <c r="K58" s="20"/>
      <c r="L58" s="14"/>
      <c r="M58" s="14"/>
      <c r="N58" s="14"/>
      <c r="O58" s="14"/>
      <c r="P58" s="14"/>
      <c r="Q58" s="14"/>
      <c r="R58" s="14"/>
    </row>
    <row r="59" spans="2:18" s="15" customFormat="1" ht="13.5" thickBot="1">
      <c r="B59" s="15" t="s">
        <v>8</v>
      </c>
      <c r="I59" s="6"/>
      <c r="J59" s="16"/>
      <c r="K59" s="20"/>
      <c r="L59" s="14"/>
      <c r="M59" s="14"/>
      <c r="N59" s="14"/>
      <c r="O59" s="14"/>
      <c r="P59" s="14"/>
      <c r="Q59" s="14"/>
      <c r="R59" s="14"/>
    </row>
    <row r="60" spans="2:18" s="15" customFormat="1" ht="13.5" thickBot="1">
      <c r="B60" s="15" t="s">
        <v>9</v>
      </c>
      <c r="I60" s="27"/>
      <c r="J60" s="16"/>
      <c r="K60" s="25"/>
      <c r="L60" s="14"/>
      <c r="M60" s="14"/>
      <c r="N60" s="14"/>
      <c r="O60" s="14"/>
      <c r="P60" s="14"/>
      <c r="Q60" s="14"/>
      <c r="R60" s="14"/>
    </row>
    <row r="61" spans="2:18" s="15" customFormat="1" ht="13.5" thickBot="1">
      <c r="B61" s="248" t="s">
        <v>10</v>
      </c>
      <c r="C61" s="248"/>
      <c r="D61" s="248"/>
      <c r="E61" s="248"/>
      <c r="F61" s="248"/>
      <c r="I61" s="6"/>
      <c r="K61" s="14"/>
      <c r="L61" s="14"/>
      <c r="M61" s="14"/>
      <c r="N61" s="14"/>
      <c r="O61" s="14"/>
      <c r="P61" s="14"/>
      <c r="Q61" s="14"/>
      <c r="R61" s="14"/>
    </row>
    <row r="62" spans="2:18" s="15" customFormat="1" ht="12.75">
      <c r="B62" s="248"/>
      <c r="C62" s="248"/>
      <c r="D62" s="248"/>
      <c r="E62" s="248"/>
      <c r="F62" s="248"/>
      <c r="I62" s="16"/>
      <c r="J62" s="16"/>
      <c r="K62" s="14"/>
      <c r="L62" s="14"/>
      <c r="M62" s="14"/>
      <c r="N62" s="14"/>
      <c r="O62" s="14"/>
      <c r="P62" s="14"/>
      <c r="Q62" s="14"/>
      <c r="R62" s="14"/>
    </row>
    <row r="63" spans="2:18" s="15" customFormat="1" ht="12.75">
      <c r="B63" s="23"/>
      <c r="C63" s="23"/>
      <c r="D63" s="23"/>
      <c r="E63" s="23"/>
      <c r="F63" s="23"/>
      <c r="I63" s="16"/>
      <c r="J63" s="16"/>
      <c r="K63" s="14"/>
      <c r="L63" s="14"/>
      <c r="M63" s="14"/>
      <c r="N63" s="14"/>
      <c r="O63" s="14"/>
      <c r="P63" s="14"/>
      <c r="Q63" s="14"/>
      <c r="R63" s="14"/>
    </row>
    <row r="64" spans="1:18" s="15" customFormat="1" ht="13.5" thickBot="1">
      <c r="A64" s="15" t="s">
        <v>643</v>
      </c>
      <c r="B64" s="23"/>
      <c r="C64" s="23"/>
      <c r="D64" s="23"/>
      <c r="E64" s="23"/>
      <c r="F64" s="23"/>
      <c r="I64" s="6"/>
      <c r="J64" s="16"/>
      <c r="K64" s="14"/>
      <c r="L64" s="14"/>
      <c r="M64" s="14"/>
      <c r="N64" s="14"/>
      <c r="O64" s="14"/>
      <c r="P64" s="14"/>
      <c r="Q64" s="14"/>
      <c r="R64" s="14"/>
    </row>
    <row r="65" spans="2:18" s="15" customFormat="1" ht="12.75">
      <c r="B65" s="15" t="s">
        <v>644</v>
      </c>
      <c r="C65" s="23"/>
      <c r="D65" s="23"/>
      <c r="E65" s="23"/>
      <c r="F65" s="23"/>
      <c r="I65" s="216"/>
      <c r="J65" s="16"/>
      <c r="K65" s="14"/>
      <c r="L65" s="14"/>
      <c r="M65" s="14"/>
      <c r="N65" s="14"/>
      <c r="O65" s="14"/>
      <c r="P65" s="14"/>
      <c r="Q65" s="14"/>
      <c r="R65" s="14"/>
    </row>
    <row r="66" spans="2:18" s="15" customFormat="1" ht="12.75">
      <c r="B66" s="15" t="s">
        <v>645</v>
      </c>
      <c r="C66" s="280" t="s">
        <v>646</v>
      </c>
      <c r="D66" s="23" t="s">
        <v>645</v>
      </c>
      <c r="E66" s="280" t="s">
        <v>646</v>
      </c>
      <c r="F66" s="23" t="s">
        <v>647</v>
      </c>
      <c r="G66" s="280" t="s">
        <v>648</v>
      </c>
      <c r="I66" s="216"/>
      <c r="J66" s="16"/>
      <c r="K66" s="14"/>
      <c r="L66" s="14"/>
      <c r="M66" s="14"/>
      <c r="N66" s="14"/>
      <c r="O66" s="14"/>
      <c r="P66" s="14"/>
      <c r="Q66" s="14"/>
      <c r="R66" s="14"/>
    </row>
    <row r="67" spans="2:18" s="15" customFormat="1" ht="13.5" thickBot="1">
      <c r="B67" s="23">
        <v>0</v>
      </c>
      <c r="C67" s="281"/>
      <c r="D67" s="23">
        <v>5</v>
      </c>
      <c r="E67" s="281"/>
      <c r="F67" s="23">
        <v>10</v>
      </c>
      <c r="G67" s="281"/>
      <c r="I67" s="16"/>
      <c r="J67" s="16"/>
      <c r="K67" s="14"/>
      <c r="L67" s="14"/>
      <c r="M67" s="14"/>
      <c r="N67" s="14"/>
      <c r="O67" s="14"/>
      <c r="P67" s="14"/>
      <c r="Q67" s="14"/>
      <c r="R67" s="14"/>
    </row>
    <row r="68" spans="2:18" s="15" customFormat="1" ht="13.5" thickBot="1">
      <c r="B68" s="23">
        <v>1</v>
      </c>
      <c r="C68" s="27"/>
      <c r="D68" s="23">
        <v>6</v>
      </c>
      <c r="E68" s="27"/>
      <c r="F68" s="23">
        <v>11</v>
      </c>
      <c r="G68" s="27"/>
      <c r="I68" s="16"/>
      <c r="J68" s="16"/>
      <c r="K68" s="14"/>
      <c r="L68" s="14"/>
      <c r="M68" s="14"/>
      <c r="N68" s="14"/>
      <c r="O68" s="14"/>
      <c r="P68" s="14"/>
      <c r="Q68" s="14"/>
      <c r="R68" s="14"/>
    </row>
    <row r="69" spans="2:18" s="15" customFormat="1" ht="13.5" thickBot="1">
      <c r="B69" s="23">
        <v>2</v>
      </c>
      <c r="C69" s="27"/>
      <c r="D69" s="23">
        <v>7</v>
      </c>
      <c r="E69" s="27"/>
      <c r="F69" s="23">
        <v>12</v>
      </c>
      <c r="G69" s="27"/>
      <c r="I69" s="16"/>
      <c r="J69" s="16"/>
      <c r="K69" s="14"/>
      <c r="L69" s="14"/>
      <c r="M69" s="14"/>
      <c r="N69" s="14"/>
      <c r="O69" s="14"/>
      <c r="P69" s="14"/>
      <c r="Q69" s="14"/>
      <c r="R69" s="14"/>
    </row>
    <row r="70" spans="2:18" s="15" customFormat="1" ht="13.5" thickBot="1">
      <c r="B70" s="23">
        <v>3</v>
      </c>
      <c r="C70" s="27"/>
      <c r="D70" s="23">
        <v>8</v>
      </c>
      <c r="E70" s="27"/>
      <c r="F70" s="23">
        <v>13</v>
      </c>
      <c r="G70" s="27"/>
      <c r="I70" s="16"/>
      <c r="J70" s="16"/>
      <c r="K70" s="14"/>
      <c r="L70" s="14"/>
      <c r="M70" s="14"/>
      <c r="N70" s="14"/>
      <c r="O70" s="14"/>
      <c r="P70" s="14"/>
      <c r="Q70" s="14"/>
      <c r="R70" s="14"/>
    </row>
    <row r="71" spans="2:18" s="15" customFormat="1" ht="13.5" thickBot="1">
      <c r="B71" s="23">
        <v>4</v>
      </c>
      <c r="C71" s="27"/>
      <c r="D71" s="23">
        <v>9</v>
      </c>
      <c r="E71" s="27"/>
      <c r="F71" s="23">
        <v>14</v>
      </c>
      <c r="G71" s="27"/>
      <c r="I71" s="16"/>
      <c r="J71" s="16"/>
      <c r="K71" s="14"/>
      <c r="L71" s="14"/>
      <c r="M71" s="14"/>
      <c r="N71" s="14"/>
      <c r="O71" s="14"/>
      <c r="P71" s="14"/>
      <c r="Q71" s="14"/>
      <c r="R71" s="14"/>
    </row>
    <row r="72" spans="2:18" s="15" customFormat="1" ht="12.75">
      <c r="B72" s="23"/>
      <c r="C72" s="282"/>
      <c r="D72" s="23"/>
      <c r="E72" s="282"/>
      <c r="F72" s="23"/>
      <c r="G72" s="282"/>
      <c r="I72" s="16"/>
      <c r="J72" s="16"/>
      <c r="K72" s="14"/>
      <c r="L72" s="14"/>
      <c r="M72" s="14"/>
      <c r="N72" s="14"/>
      <c r="O72" s="14"/>
      <c r="P72" s="14"/>
      <c r="Q72" s="14"/>
      <c r="R72" s="14"/>
    </row>
    <row r="73" spans="2:18" s="15" customFormat="1" ht="12.75">
      <c r="B73" s="23"/>
      <c r="C73" s="23"/>
      <c r="D73" s="23"/>
      <c r="E73" s="23"/>
      <c r="F73" s="23"/>
      <c r="I73" s="16"/>
      <c r="J73" s="16"/>
      <c r="K73" s="14"/>
      <c r="L73" s="14"/>
      <c r="M73" s="14"/>
      <c r="N73" s="14"/>
      <c r="O73" s="14"/>
      <c r="P73" s="14"/>
      <c r="Q73" s="14"/>
      <c r="R73" s="14"/>
    </row>
    <row r="74" spans="1:9" s="15" customFormat="1" ht="15">
      <c r="A74" s="227" t="s">
        <v>649</v>
      </c>
      <c r="I74" s="11" t="str">
        <f>IF(LEFT($D$9,1)="2",IF(OR(ISBLANK(I76),ISBLANK(I78)),"INCOMPLETE","COMPLETE"),"N/A")</f>
        <v>N/A</v>
      </c>
    </row>
    <row r="75" spans="1:16" s="15" customFormat="1" ht="12.75">
      <c r="A75" s="15" t="s">
        <v>11</v>
      </c>
      <c r="N75" s="19"/>
      <c r="O75" s="14"/>
      <c r="P75" s="14"/>
    </row>
    <row r="76" spans="2:16" s="15" customFormat="1" ht="13.5" thickBot="1">
      <c r="B76" s="15" t="s">
        <v>12</v>
      </c>
      <c r="I76" s="6"/>
      <c r="J76" s="16"/>
      <c r="N76" s="20"/>
      <c r="O76" s="14"/>
      <c r="P76" s="14"/>
    </row>
    <row r="77" spans="2:16" s="15" customFormat="1" ht="13.5" thickBot="1">
      <c r="B77" s="15" t="s">
        <v>9</v>
      </c>
      <c r="I77" s="27"/>
      <c r="J77" s="16"/>
      <c r="N77" s="20"/>
      <c r="O77" s="14"/>
      <c r="P77" s="14"/>
    </row>
    <row r="78" spans="2:16" s="15" customFormat="1" ht="13.5" thickBot="1">
      <c r="B78" s="248" t="s">
        <v>13</v>
      </c>
      <c r="C78" s="248"/>
      <c r="D78" s="248"/>
      <c r="E78" s="248"/>
      <c r="F78" s="248"/>
      <c r="I78" s="6"/>
      <c r="N78" s="20"/>
      <c r="O78" s="14"/>
      <c r="P78" s="14"/>
    </row>
    <row r="79" spans="2:10" s="15" customFormat="1" ht="12.75">
      <c r="B79" s="248"/>
      <c r="C79" s="248"/>
      <c r="D79" s="248"/>
      <c r="E79" s="248"/>
      <c r="F79" s="248"/>
      <c r="I79" s="16"/>
      <c r="J79" s="16"/>
    </row>
    <row r="80" spans="11:18" s="15" customFormat="1" ht="12.75">
      <c r="K80" s="14"/>
      <c r="L80" s="14"/>
      <c r="M80" s="14"/>
      <c r="N80" s="14"/>
      <c r="O80" s="14"/>
      <c r="P80" s="14"/>
      <c r="Q80" s="14"/>
      <c r="R80" s="14"/>
    </row>
    <row r="81" spans="1:9" s="15" customFormat="1" ht="15">
      <c r="A81" s="227" t="s">
        <v>650</v>
      </c>
      <c r="I81" s="11" t="str">
        <f>IF(LEFT($D$9,2)="31",IF(OR(ISBLANK(I83),ISBLANK(I84),ISBLANK(I85),ISBLANK(I86),ISBLANK(I87),ISBLANK(I88)),"INCOMPLETE","COMPLETE"),"N/A")</f>
        <v>N/A</v>
      </c>
    </row>
    <row r="82" spans="1:16" s="15" customFormat="1" ht="12.75">
      <c r="A82" s="15" t="s">
        <v>651</v>
      </c>
      <c r="N82" s="19"/>
      <c r="O82" s="14"/>
      <c r="P82" s="14"/>
    </row>
    <row r="83" spans="2:16" s="15" customFormat="1" ht="13.5" thickBot="1">
      <c r="B83" s="15" t="s">
        <v>652</v>
      </c>
      <c r="G83" s="15" t="s">
        <v>653</v>
      </c>
      <c r="I83" s="6"/>
      <c r="J83" s="16"/>
      <c r="N83" s="20"/>
      <c r="O83" s="14"/>
      <c r="P83" s="14"/>
    </row>
    <row r="84" spans="2:16" s="15" customFormat="1" ht="13.5" thickBot="1">
      <c r="B84" s="15" t="s">
        <v>654</v>
      </c>
      <c r="G84" s="15" t="s">
        <v>655</v>
      </c>
      <c r="I84" s="6"/>
      <c r="J84" s="16"/>
      <c r="N84" s="20"/>
      <c r="O84" s="14"/>
      <c r="P84" s="14"/>
    </row>
    <row r="85" spans="2:16" s="15" customFormat="1" ht="13.5" thickBot="1">
      <c r="B85" s="15" t="s">
        <v>656</v>
      </c>
      <c r="G85" s="15" t="s">
        <v>657</v>
      </c>
      <c r="I85" s="6"/>
      <c r="J85" s="16"/>
      <c r="N85" s="20"/>
      <c r="O85" s="14"/>
      <c r="P85" s="14"/>
    </row>
    <row r="86" spans="2:16" s="15" customFormat="1" ht="13.5" thickBot="1">
      <c r="B86" s="15" t="s">
        <v>658</v>
      </c>
      <c r="G86" s="15" t="s">
        <v>299</v>
      </c>
      <c r="I86" s="6"/>
      <c r="J86" s="16"/>
      <c r="N86" s="20"/>
      <c r="O86" s="14"/>
      <c r="P86" s="14"/>
    </row>
    <row r="87" spans="2:16" s="15" customFormat="1" ht="13.5" thickBot="1">
      <c r="B87" s="15" t="s">
        <v>659</v>
      </c>
      <c r="G87" s="15" t="s">
        <v>660</v>
      </c>
      <c r="I87" s="6"/>
      <c r="J87" s="16"/>
      <c r="N87" s="20"/>
      <c r="O87" s="14"/>
      <c r="P87" s="14"/>
    </row>
    <row r="88" spans="2:16" s="15" customFormat="1" ht="13.5" thickBot="1">
      <c r="B88" s="15" t="s">
        <v>661</v>
      </c>
      <c r="G88" s="15" t="s">
        <v>662</v>
      </c>
      <c r="I88" s="6"/>
      <c r="J88" s="16"/>
      <c r="N88" s="20"/>
      <c r="O88" s="14"/>
      <c r="P88" s="14"/>
    </row>
    <row r="89" spans="9:16" s="15" customFormat="1" ht="12.75">
      <c r="I89" s="282"/>
      <c r="J89" s="16"/>
      <c r="N89" s="20"/>
      <c r="O89" s="14"/>
      <c r="P89" s="14"/>
    </row>
    <row r="90" spans="1:9" ht="15">
      <c r="A90" s="222" t="s">
        <v>627</v>
      </c>
      <c r="I90" s="11" t="str">
        <f>IF(OR(ISBLANK(E91),ISBLANK(E93),ISBLANK(E95),ISBLANK(I97),ISBLANK(I102),ISBLANK(I107)),"INCOMPLETE","COMPLETE")</f>
        <v>INCOMPLETE</v>
      </c>
    </row>
    <row r="91" spans="1:9" ht="15" thickBot="1">
      <c r="A91" s="4" t="s">
        <v>634</v>
      </c>
      <c r="E91" s="6"/>
      <c r="I91" s="218" t="s">
        <v>409</v>
      </c>
    </row>
    <row r="92" ht="15">
      <c r="A92" s="4"/>
    </row>
    <row r="93" spans="1:9" ht="15" thickBot="1">
      <c r="A93" s="4" t="s">
        <v>41</v>
      </c>
      <c r="E93" s="6"/>
      <c r="I93" s="218" t="s">
        <v>636</v>
      </c>
    </row>
    <row r="94" ht="15">
      <c r="A94" s="4"/>
    </row>
    <row r="95" spans="1:9" ht="15" thickBot="1">
      <c r="A95" s="4" t="s">
        <v>439</v>
      </c>
      <c r="E95" s="6"/>
      <c r="I95" s="218" t="s">
        <v>440</v>
      </c>
    </row>
    <row r="96" ht="15">
      <c r="A96" s="4"/>
    </row>
    <row r="97" spans="1:9" ht="15" thickBot="1">
      <c r="A97" s="4" t="s">
        <v>14</v>
      </c>
      <c r="B97" s="4"/>
      <c r="C97" s="4"/>
      <c r="D97" s="4"/>
      <c r="E97" s="4"/>
      <c r="F97" s="4"/>
      <c r="I97" s="6"/>
    </row>
    <row r="98" spans="1:8" ht="6.75" customHeight="1">
      <c r="A98" s="4"/>
      <c r="B98" s="4"/>
      <c r="C98" s="4"/>
      <c r="D98" s="4"/>
      <c r="E98" s="4"/>
      <c r="F98" s="4"/>
      <c r="G98" s="4"/>
      <c r="H98" s="4"/>
    </row>
    <row r="99" spans="1:9" ht="15" customHeight="1">
      <c r="A99" s="4"/>
      <c r="B99" s="233" t="s">
        <v>17</v>
      </c>
      <c r="C99" s="234"/>
      <c r="D99" s="234"/>
      <c r="E99" s="234"/>
      <c r="F99" s="234"/>
      <c r="G99" s="234"/>
      <c r="H99" s="235"/>
      <c r="I99" s="21"/>
    </row>
    <row r="100" spans="1:9" ht="15">
      <c r="A100" s="4"/>
      <c r="B100" s="236"/>
      <c r="C100" s="237"/>
      <c r="D100" s="237"/>
      <c r="E100" s="237"/>
      <c r="F100" s="237"/>
      <c r="G100" s="237"/>
      <c r="H100" s="238"/>
      <c r="I100" s="21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 customHeight="1" thickBot="1">
      <c r="A102" s="249" t="s">
        <v>26</v>
      </c>
      <c r="B102" s="249"/>
      <c r="C102" s="249"/>
      <c r="D102" s="249"/>
      <c r="E102" s="249"/>
      <c r="F102" s="249"/>
      <c r="G102" s="249"/>
      <c r="H102" s="9"/>
      <c r="I102" s="6"/>
    </row>
    <row r="103" spans="1:9" ht="15">
      <c r="A103" s="249"/>
      <c r="B103" s="249"/>
      <c r="C103" s="249"/>
      <c r="D103" s="249"/>
      <c r="E103" s="249"/>
      <c r="F103" s="249"/>
      <c r="G103" s="249"/>
      <c r="H103" s="9"/>
      <c r="I103" s="4"/>
    </row>
    <row r="104" spans="1:9" ht="15" customHeight="1">
      <c r="A104" s="4"/>
      <c r="B104" s="233" t="s">
        <v>17</v>
      </c>
      <c r="C104" s="234"/>
      <c r="D104" s="234"/>
      <c r="E104" s="234"/>
      <c r="F104" s="234"/>
      <c r="G104" s="234"/>
      <c r="H104" s="235"/>
      <c r="I104" s="21"/>
    </row>
    <row r="105" spans="1:9" ht="15">
      <c r="A105" s="4"/>
      <c r="B105" s="236"/>
      <c r="C105" s="237"/>
      <c r="D105" s="237"/>
      <c r="E105" s="237"/>
      <c r="F105" s="237"/>
      <c r="G105" s="237"/>
      <c r="H105" s="238"/>
      <c r="I105" s="21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 thickBot="1">
      <c r="A107" s="249" t="s">
        <v>15</v>
      </c>
      <c r="B107" s="249"/>
      <c r="C107" s="249"/>
      <c r="D107" s="249"/>
      <c r="E107" s="249"/>
      <c r="F107" s="249"/>
      <c r="G107" s="249"/>
      <c r="H107" s="9"/>
      <c r="I107" s="6"/>
    </row>
    <row r="108" spans="1:9" ht="15">
      <c r="A108" s="249"/>
      <c r="B108" s="249"/>
      <c r="C108" s="249"/>
      <c r="D108" s="249"/>
      <c r="E108" s="249"/>
      <c r="F108" s="249"/>
      <c r="G108" s="249"/>
      <c r="H108" s="9"/>
      <c r="I108" s="4"/>
    </row>
    <row r="109" spans="1:9" ht="15" customHeight="1">
      <c r="A109" s="4"/>
      <c r="B109" s="233" t="s">
        <v>16</v>
      </c>
      <c r="C109" s="234"/>
      <c r="D109" s="234"/>
      <c r="E109" s="234"/>
      <c r="F109" s="234"/>
      <c r="G109" s="234"/>
      <c r="H109" s="235"/>
      <c r="I109" s="21"/>
    </row>
    <row r="110" spans="1:9" ht="15">
      <c r="A110" s="4"/>
      <c r="B110" s="236"/>
      <c r="C110" s="237"/>
      <c r="D110" s="237"/>
      <c r="E110" s="237"/>
      <c r="F110" s="237"/>
      <c r="G110" s="237"/>
      <c r="H110" s="238"/>
      <c r="I110" s="21"/>
    </row>
    <row r="112" spans="1:9" ht="19.5" customHeight="1">
      <c r="A112" s="222" t="s">
        <v>31</v>
      </c>
      <c r="I112" s="11" t="str">
        <f>IF(OR(ISBLANK(D113),ISBLANK(D114),ISBLANK(D115),ISBLANK(D116),ISBLANK(D117),ISBLANK(D118),ISBLANK(D119)),"INCOMPLETE","COMPLETE")</f>
        <v>INCOMPLETE</v>
      </c>
    </row>
    <row r="113" spans="1:9" ht="19.5" customHeight="1" thickBot="1">
      <c r="A113" s="4" t="s">
        <v>412</v>
      </c>
      <c r="D113" s="247"/>
      <c r="E113" s="247"/>
      <c r="F113" s="247"/>
      <c r="G113" s="247"/>
      <c r="H113" s="247"/>
      <c r="I113" s="247"/>
    </row>
    <row r="114" spans="1:9" ht="19.5" customHeight="1" thickBot="1">
      <c r="A114" s="4" t="s">
        <v>32</v>
      </c>
      <c r="D114" s="247"/>
      <c r="E114" s="247"/>
      <c r="F114" s="247"/>
      <c r="G114" s="247"/>
      <c r="H114" s="247"/>
      <c r="I114" s="247"/>
    </row>
    <row r="115" spans="1:9" ht="19.5" customHeight="1" thickBot="1">
      <c r="A115" s="4" t="s">
        <v>33</v>
      </c>
      <c r="D115" s="245"/>
      <c r="E115" s="245"/>
      <c r="F115" s="245"/>
      <c r="G115" s="245"/>
      <c r="H115" s="245"/>
      <c r="I115" s="245"/>
    </row>
    <row r="116" spans="1:9" ht="19.5" customHeight="1" thickBot="1">
      <c r="A116" s="4" t="s">
        <v>34</v>
      </c>
      <c r="D116" s="245"/>
      <c r="E116" s="245"/>
      <c r="F116" s="245"/>
      <c r="G116" s="245"/>
      <c r="H116" s="245"/>
      <c r="I116" s="245"/>
    </row>
    <row r="117" spans="1:9" ht="19.5" customHeight="1" thickBot="1">
      <c r="A117" s="4" t="s">
        <v>35</v>
      </c>
      <c r="D117" s="245"/>
      <c r="E117" s="245"/>
      <c r="F117" s="245"/>
      <c r="G117" s="245"/>
      <c r="H117" s="245"/>
      <c r="I117" s="245"/>
    </row>
    <row r="118" spans="1:9" ht="19.5" customHeight="1" thickBot="1">
      <c r="A118" s="4" t="s">
        <v>413</v>
      </c>
      <c r="D118" s="251"/>
      <c r="E118" s="251"/>
      <c r="F118" s="251"/>
      <c r="G118" s="251"/>
      <c r="H118" s="251"/>
      <c r="I118" s="251"/>
    </row>
    <row r="119" spans="1:9" ht="19.5" customHeight="1" thickBot="1">
      <c r="A119" s="4" t="s">
        <v>414</v>
      </c>
      <c r="D119" s="252"/>
      <c r="E119" s="252"/>
      <c r="F119" s="252"/>
      <c r="G119" s="252"/>
      <c r="H119" s="252"/>
      <c r="I119" s="252"/>
    </row>
    <row r="120" spans="1:9" ht="19.5" customHeight="1">
      <c r="A120" s="4"/>
      <c r="D120" s="221"/>
      <c r="E120" s="221"/>
      <c r="F120" s="221"/>
      <c r="G120" s="221"/>
      <c r="H120" s="221"/>
      <c r="I120" s="221"/>
    </row>
    <row r="121" spans="1:9" ht="15">
      <c r="A121" s="222" t="s">
        <v>625</v>
      </c>
      <c r="I121" s="11" t="str">
        <f>IF(OR(ISBLANK(D125),ISBLANK(C128),ISBLANK(F128),ISBLANK(I128)),"INCOMPLETE","COMPLETE")</f>
        <v>INCOMPLETE</v>
      </c>
    </row>
    <row r="122" spans="1:9" ht="28.5" customHeight="1">
      <c r="A122" s="5"/>
      <c r="B122" s="253" t="s">
        <v>628</v>
      </c>
      <c r="C122" s="253"/>
      <c r="D122" s="253"/>
      <c r="E122" s="253"/>
      <c r="F122" s="253"/>
      <c r="G122" s="253"/>
      <c r="H122" s="253"/>
      <c r="I122" s="253"/>
    </row>
    <row r="123" ht="15" customHeight="1"/>
    <row r="124" spans="1:9" ht="15">
      <c r="A124" s="226" t="s">
        <v>633</v>
      </c>
      <c r="I124" s="11"/>
    </row>
    <row r="125" spans="1:9" ht="15" customHeight="1" thickBot="1">
      <c r="A125" s="1" t="s">
        <v>619</v>
      </c>
      <c r="D125" s="247"/>
      <c r="E125" s="247"/>
      <c r="F125" s="247"/>
      <c r="G125" s="247"/>
      <c r="H125" s="247"/>
      <c r="I125" s="247"/>
    </row>
    <row r="126" ht="15" customHeight="1"/>
    <row r="127" spans="3:9" ht="15" customHeight="1">
      <c r="C127" s="220" t="s">
        <v>622</v>
      </c>
      <c r="F127" s="220" t="s">
        <v>620</v>
      </c>
      <c r="G127" s="7"/>
      <c r="I127" s="217" t="s">
        <v>621</v>
      </c>
    </row>
    <row r="128" spans="1:9" ht="15" customHeight="1" thickBot="1">
      <c r="A128" s="4" t="s">
        <v>416</v>
      </c>
      <c r="B128" s="4"/>
      <c r="C128" s="283"/>
      <c r="D128" s="283"/>
      <c r="F128" s="284"/>
      <c r="G128" s="284"/>
      <c r="I128" s="285"/>
    </row>
    <row r="129" spans="1:9" ht="15" customHeight="1" thickBot="1">
      <c r="A129" s="4" t="s">
        <v>417</v>
      </c>
      <c r="B129" s="4"/>
      <c r="C129" s="286"/>
      <c r="D129" s="286"/>
      <c r="F129" s="284"/>
      <c r="G129" s="284"/>
      <c r="I129" s="287"/>
    </row>
    <row r="130" spans="1:9" ht="15" customHeight="1" thickBot="1">
      <c r="A130" s="4" t="s">
        <v>418</v>
      </c>
      <c r="B130" s="4"/>
      <c r="C130" s="286"/>
      <c r="D130" s="286"/>
      <c r="F130" s="284"/>
      <c r="G130" s="284"/>
      <c r="I130" s="287"/>
    </row>
    <row r="131" spans="1:9" ht="15" customHeight="1" thickBot="1">
      <c r="A131" s="4" t="s">
        <v>419</v>
      </c>
      <c r="B131" s="4"/>
      <c r="C131" s="286"/>
      <c r="D131" s="286"/>
      <c r="F131" s="284"/>
      <c r="G131" s="284"/>
      <c r="I131" s="287"/>
    </row>
    <row r="132" spans="1:9" ht="15" customHeight="1" thickBot="1">
      <c r="A132" s="4" t="s">
        <v>420</v>
      </c>
      <c r="B132" s="4"/>
      <c r="C132" s="286"/>
      <c r="D132" s="286"/>
      <c r="F132" s="284"/>
      <c r="G132" s="284"/>
      <c r="I132" s="287"/>
    </row>
    <row r="133" spans="1:9" ht="15" customHeight="1" thickBot="1">
      <c r="A133" s="4" t="s">
        <v>421</v>
      </c>
      <c r="B133" s="4"/>
      <c r="C133" s="286"/>
      <c r="D133" s="286"/>
      <c r="F133" s="284"/>
      <c r="G133" s="284"/>
      <c r="I133" s="287"/>
    </row>
    <row r="134" spans="1:9" ht="15" customHeight="1" thickBot="1">
      <c r="A134" s="4" t="s">
        <v>422</v>
      </c>
      <c r="B134" s="4"/>
      <c r="C134" s="286"/>
      <c r="D134" s="286"/>
      <c r="F134" s="284"/>
      <c r="G134" s="284"/>
      <c r="I134" s="287"/>
    </row>
    <row r="135" spans="1:9" ht="15" customHeight="1" thickBot="1">
      <c r="A135" s="4" t="s">
        <v>423</v>
      </c>
      <c r="B135" s="4"/>
      <c r="C135" s="286"/>
      <c r="D135" s="286"/>
      <c r="F135" s="284"/>
      <c r="G135" s="284"/>
      <c r="I135" s="287"/>
    </row>
    <row r="136" spans="1:9" ht="15" customHeight="1" thickBot="1">
      <c r="A136" s="4" t="s">
        <v>424</v>
      </c>
      <c r="B136" s="4"/>
      <c r="C136" s="286"/>
      <c r="D136" s="286"/>
      <c r="F136" s="284"/>
      <c r="G136" s="284"/>
      <c r="I136" s="287"/>
    </row>
    <row r="137" spans="1:9" ht="15" customHeight="1" thickBot="1">
      <c r="A137" s="4" t="s">
        <v>425</v>
      </c>
      <c r="B137" s="4"/>
      <c r="C137" s="286"/>
      <c r="D137" s="286"/>
      <c r="F137" s="284"/>
      <c r="G137" s="284"/>
      <c r="I137" s="287"/>
    </row>
    <row r="138" spans="1:9" ht="15" customHeight="1">
      <c r="A138" s="4"/>
      <c r="B138" s="4"/>
      <c r="C138" s="224"/>
      <c r="D138" s="224"/>
      <c r="F138" s="223"/>
      <c r="G138" s="223"/>
      <c r="I138" s="225"/>
    </row>
    <row r="139" spans="1:9" ht="15" customHeight="1">
      <c r="A139" s="219"/>
      <c r="B139" s="1" t="s">
        <v>623</v>
      </c>
      <c r="D139" s="26"/>
      <c r="E139" s="26"/>
      <c r="F139" s="26"/>
      <c r="G139" s="26"/>
      <c r="H139" s="26"/>
      <c r="I139" s="26"/>
    </row>
    <row r="140" spans="1:9" ht="15" customHeight="1">
      <c r="A140" s="219"/>
      <c r="D140" s="26"/>
      <c r="E140" s="26"/>
      <c r="F140" s="26"/>
      <c r="G140" s="26"/>
      <c r="H140" s="26"/>
      <c r="I140" s="26"/>
    </row>
    <row r="141" spans="1:9" ht="15">
      <c r="A141" s="226" t="s">
        <v>629</v>
      </c>
      <c r="I141" s="11" t="str">
        <f>IF(E95="Y",IF(OR(ISBLANK(E142),ISBLANK(E143),ISBLANK(E144),ISBLANK(E145)),"INCOMPLETE","COMPLETE"),"N/A")</f>
        <v>N/A</v>
      </c>
    </row>
    <row r="142" spans="1:9" ht="15" thickBot="1">
      <c r="A142" s="215"/>
      <c r="B142" s="215"/>
      <c r="C142" s="1" t="s">
        <v>426</v>
      </c>
      <c r="D142" s="215"/>
      <c r="E142" s="247"/>
      <c r="F142" s="247"/>
      <c r="G142" s="247"/>
      <c r="H142" s="247"/>
      <c r="I142" s="247"/>
    </row>
    <row r="143" spans="1:9" ht="15" thickBot="1">
      <c r="A143" s="4"/>
      <c r="C143" s="1" t="s">
        <v>442</v>
      </c>
      <c r="E143" s="247"/>
      <c r="F143" s="247"/>
      <c r="G143" s="247"/>
      <c r="H143" s="247"/>
      <c r="I143" s="247"/>
    </row>
    <row r="144" spans="1:9" ht="15" thickBot="1">
      <c r="A144" s="4"/>
      <c r="C144" s="1" t="s">
        <v>443</v>
      </c>
      <c r="E144" s="247"/>
      <c r="F144" s="247"/>
      <c r="G144" s="247"/>
      <c r="H144" s="247"/>
      <c r="I144" s="247"/>
    </row>
    <row r="145" spans="1:9" ht="15" thickBot="1">
      <c r="A145" s="4"/>
      <c r="C145" s="1" t="s">
        <v>441</v>
      </c>
      <c r="E145" s="247"/>
      <c r="F145" s="247"/>
      <c r="G145" s="247"/>
      <c r="H145" s="247"/>
      <c r="I145" s="247"/>
    </row>
    <row r="146" spans="1:9" ht="15">
      <c r="A146" s="4"/>
      <c r="I146" s="216"/>
    </row>
    <row r="147" spans="1:9" ht="15">
      <c r="A147" s="222" t="s">
        <v>624</v>
      </c>
      <c r="H147" s="2"/>
      <c r="I147" s="11" t="str">
        <f>IF(OR(E91="Y",E93="Y",E95="Y"),IF(I149="N","COMPLETE",IF(OR(ISBLANK(I149),ISBLANK(I150),ISBLANK(I151),ISBLANK(I154),ISBLANK(I157),ISBLANK(I160),ISBLANK(I163),ISBLANK(I166),ISBLANK(I169),ISBLANK(I170),ISBLANK(I171)),"INCOMPLETE","COMPLETE")),"N/A")</f>
        <v>N/A</v>
      </c>
    </row>
    <row r="148" spans="1:9" ht="15">
      <c r="A148" s="222"/>
      <c r="B148" s="231" t="s">
        <v>635</v>
      </c>
      <c r="H148" s="2"/>
      <c r="I148" s="11"/>
    </row>
    <row r="149" spans="1:9" ht="15" thickBot="1">
      <c r="A149" s="215" t="s">
        <v>427</v>
      </c>
      <c r="B149" s="215"/>
      <c r="C149" s="215"/>
      <c r="D149" s="215"/>
      <c r="E149" s="215"/>
      <c r="I149" s="6"/>
    </row>
    <row r="150" spans="1:9" ht="15" thickBot="1">
      <c r="A150" s="4" t="s">
        <v>44</v>
      </c>
      <c r="I150" s="6"/>
    </row>
    <row r="151" spans="1:9" ht="15" thickBot="1">
      <c r="A151" s="4" t="s">
        <v>428</v>
      </c>
      <c r="I151" s="6"/>
    </row>
    <row r="152" spans="1:7" ht="15" thickBot="1">
      <c r="A152" s="4"/>
      <c r="B152" s="4" t="s">
        <v>429</v>
      </c>
      <c r="G152" s="6"/>
    </row>
    <row r="153" spans="1:2" ht="15">
      <c r="A153" s="4"/>
      <c r="B153" s="4"/>
    </row>
    <row r="154" spans="1:9" ht="15" thickBot="1">
      <c r="A154" s="4" t="s">
        <v>630</v>
      </c>
      <c r="B154" s="4"/>
      <c r="I154" s="6"/>
    </row>
    <row r="155" spans="1:7" ht="15" thickBot="1">
      <c r="A155" s="4"/>
      <c r="B155" s="4" t="s">
        <v>430</v>
      </c>
      <c r="G155" s="6"/>
    </row>
    <row r="156" spans="1:7" ht="15">
      <c r="A156" s="4"/>
      <c r="B156" s="4"/>
      <c r="G156" s="8"/>
    </row>
    <row r="157" spans="1:9" ht="15" thickBot="1">
      <c r="A157" s="4" t="s">
        <v>431</v>
      </c>
      <c r="B157" s="4"/>
      <c r="I157" s="6"/>
    </row>
    <row r="158" spans="1:7" ht="15" thickBot="1">
      <c r="A158" s="4"/>
      <c r="B158" s="4" t="s">
        <v>430</v>
      </c>
      <c r="G158" s="6"/>
    </row>
    <row r="159" spans="1:7" ht="15">
      <c r="A159" s="4"/>
      <c r="B159" s="4"/>
      <c r="G159" s="8"/>
    </row>
    <row r="160" spans="1:9" ht="15" thickBot="1">
      <c r="A160" s="4" t="s">
        <v>432</v>
      </c>
      <c r="B160" s="4"/>
      <c r="I160" s="6"/>
    </row>
    <row r="161" spans="1:7" ht="15" thickBot="1">
      <c r="A161" s="4"/>
      <c r="B161" s="4" t="s">
        <v>42</v>
      </c>
      <c r="G161" s="6"/>
    </row>
    <row r="162" spans="1:7" ht="15">
      <c r="A162" s="4"/>
      <c r="B162" s="4"/>
      <c r="G162" s="8"/>
    </row>
    <row r="163" spans="1:9" ht="15" thickBot="1">
      <c r="A163" s="4" t="s">
        <v>433</v>
      </c>
      <c r="B163" s="4"/>
      <c r="I163" s="6"/>
    </row>
    <row r="164" spans="1:7" ht="15" thickBot="1">
      <c r="A164" s="4"/>
      <c r="B164" s="4" t="s">
        <v>42</v>
      </c>
      <c r="G164" s="6"/>
    </row>
    <row r="165" spans="1:7" ht="15">
      <c r="A165" s="4"/>
      <c r="B165" s="4"/>
      <c r="G165" s="8"/>
    </row>
    <row r="166" spans="1:9" ht="15" thickBot="1">
      <c r="A166" s="4" t="s">
        <v>434</v>
      </c>
      <c r="B166" s="4"/>
      <c r="I166" s="6"/>
    </row>
    <row r="167" spans="1:7" ht="15" thickBot="1">
      <c r="A167" s="4"/>
      <c r="B167" s="4" t="s">
        <v>43</v>
      </c>
      <c r="G167" s="6"/>
    </row>
    <row r="168" spans="1:7" ht="15">
      <c r="A168" s="4"/>
      <c r="B168" s="4"/>
      <c r="G168" s="8"/>
    </row>
    <row r="169" spans="1:9" ht="15" thickBot="1">
      <c r="A169" s="4" t="s">
        <v>435</v>
      </c>
      <c r="B169" s="4"/>
      <c r="I169" s="6"/>
    </row>
    <row r="170" spans="1:9" ht="15" thickBot="1">
      <c r="A170" s="4" t="s">
        <v>436</v>
      </c>
      <c r="B170" s="4"/>
      <c r="I170" s="6"/>
    </row>
    <row r="171" spans="1:9" ht="15" thickBot="1">
      <c r="A171" s="4" t="s">
        <v>437</v>
      </c>
      <c r="B171" s="4"/>
      <c r="I171" s="6"/>
    </row>
    <row r="172" spans="1:9" ht="15">
      <c r="A172" s="4"/>
      <c r="B172" s="4"/>
      <c r="I172" s="8"/>
    </row>
    <row r="173" spans="1:9" ht="15" customHeight="1">
      <c r="A173" s="4"/>
      <c r="B173" s="233" t="s">
        <v>438</v>
      </c>
      <c r="C173" s="234"/>
      <c r="D173" s="234"/>
      <c r="E173" s="234"/>
      <c r="F173" s="234"/>
      <c r="G173" s="234"/>
      <c r="H173" s="235"/>
      <c r="I173" s="21"/>
    </row>
    <row r="174" spans="1:9" ht="15">
      <c r="A174" s="4"/>
      <c r="B174" s="236"/>
      <c r="C174" s="237"/>
      <c r="D174" s="237"/>
      <c r="E174" s="237"/>
      <c r="F174" s="237"/>
      <c r="G174" s="237"/>
      <c r="H174" s="238"/>
      <c r="I174" s="21"/>
    </row>
    <row r="176" ht="15" hidden="1">
      <c r="A176" s="3" t="s">
        <v>24</v>
      </c>
    </row>
    <row r="177" ht="15" hidden="1">
      <c r="A177" s="4" t="s">
        <v>38</v>
      </c>
    </row>
    <row r="178" ht="15" hidden="1">
      <c r="A178" s="4" t="s">
        <v>39</v>
      </c>
    </row>
    <row r="179" ht="15" hidden="1">
      <c r="A179" s="4" t="s">
        <v>37</v>
      </c>
    </row>
    <row r="180" ht="15" hidden="1">
      <c r="A180" s="4" t="s">
        <v>40</v>
      </c>
    </row>
    <row r="181" ht="15" hidden="1">
      <c r="A181" s="4" t="s">
        <v>25</v>
      </c>
    </row>
    <row r="182" ht="15" hidden="1">
      <c r="A182" s="4" t="s">
        <v>30</v>
      </c>
    </row>
    <row r="183" ht="15" hidden="1">
      <c r="A183" s="4"/>
    </row>
    <row r="184" ht="15" hidden="1">
      <c r="A184" s="3" t="s">
        <v>18</v>
      </c>
    </row>
    <row r="185" ht="15" hidden="1">
      <c r="A185" s="4" t="s">
        <v>20</v>
      </c>
    </row>
    <row r="186" ht="15" hidden="1">
      <c r="A186" s="4" t="s">
        <v>21</v>
      </c>
    </row>
    <row r="187" ht="15" hidden="1">
      <c r="A187" s="4" t="s">
        <v>22</v>
      </c>
    </row>
    <row r="188" ht="15" hidden="1">
      <c r="A188" s="4" t="s">
        <v>23</v>
      </c>
    </row>
    <row r="189" ht="15" hidden="1">
      <c r="A189" s="4"/>
    </row>
    <row r="190" ht="15" hidden="1">
      <c r="A190" s="3" t="s">
        <v>36</v>
      </c>
    </row>
    <row r="191" ht="15" hidden="1">
      <c r="A191" s="4" t="s">
        <v>663</v>
      </c>
    </row>
    <row r="192" ht="15" hidden="1">
      <c r="A192" s="4" t="s">
        <v>664</v>
      </c>
    </row>
    <row r="193" ht="15" hidden="1">
      <c r="A193" s="4" t="s">
        <v>665</v>
      </c>
    </row>
    <row r="194" ht="15" hidden="1">
      <c r="A194" s="4" t="s">
        <v>666</v>
      </c>
    </row>
    <row r="195" ht="15" hidden="1">
      <c r="A195" s="4" t="s">
        <v>667</v>
      </c>
    </row>
    <row r="196" ht="15" hidden="1">
      <c r="A196" s="4" t="s">
        <v>668</v>
      </c>
    </row>
    <row r="197" ht="15" hidden="1">
      <c r="A197" s="4" t="s">
        <v>669</v>
      </c>
    </row>
    <row r="198" ht="15" hidden="1">
      <c r="A198" s="4" t="s">
        <v>670</v>
      </c>
    </row>
    <row r="199" ht="15" hidden="1"/>
    <row r="200" ht="15" hidden="1">
      <c r="A200" s="3" t="s">
        <v>27</v>
      </c>
    </row>
    <row r="201" ht="15" hidden="1">
      <c r="A201" s="4" t="s">
        <v>28</v>
      </c>
    </row>
    <row r="202" ht="15" hidden="1">
      <c r="A202" s="4" t="s">
        <v>29</v>
      </c>
    </row>
    <row r="203" ht="15" hidden="1">
      <c r="A203" s="4" t="s">
        <v>30</v>
      </c>
    </row>
  </sheetData>
  <sheetProtection password="CAE3" sheet="1"/>
  <mergeCells count="48">
    <mergeCell ref="C137:D13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D125:I125"/>
    <mergeCell ref="B122:I122"/>
    <mergeCell ref="F128:G128"/>
    <mergeCell ref="F129:G129"/>
    <mergeCell ref="F136:G136"/>
    <mergeCell ref="F137:G137"/>
    <mergeCell ref="F130:G130"/>
    <mergeCell ref="F131:G131"/>
    <mergeCell ref="F132:G132"/>
    <mergeCell ref="F133:G133"/>
    <mergeCell ref="B173:H174"/>
    <mergeCell ref="B109:H110"/>
    <mergeCell ref="D118:I118"/>
    <mergeCell ref="D119:I119"/>
    <mergeCell ref="E142:I142"/>
    <mergeCell ref="E143:I143"/>
    <mergeCell ref="E144:I144"/>
    <mergeCell ref="E145:I145"/>
    <mergeCell ref="F134:G134"/>
    <mergeCell ref="F135:G135"/>
    <mergeCell ref="D5:H5"/>
    <mergeCell ref="D113:I113"/>
    <mergeCell ref="D114:I114"/>
    <mergeCell ref="D116:I116"/>
    <mergeCell ref="D115:I115"/>
    <mergeCell ref="B78:F79"/>
    <mergeCell ref="B61:F62"/>
    <mergeCell ref="A102:G103"/>
    <mergeCell ref="A107:G108"/>
    <mergeCell ref="D7:E7"/>
    <mergeCell ref="B99:H100"/>
    <mergeCell ref="B104:H105"/>
    <mergeCell ref="D117:I117"/>
    <mergeCell ref="A55:G56"/>
    <mergeCell ref="D9:I9"/>
    <mergeCell ref="B52:H53"/>
    <mergeCell ref="B35:H36"/>
    <mergeCell ref="B38:H41"/>
  </mergeCells>
  <conditionalFormatting sqref="G152 G155 G158 G161 G164 G167">
    <cfRule type="expression" priority="1" dxfId="0" stopIfTrue="1">
      <formula>AND((I151="Y"),OR(ISBLANK(G152),(G152="N")))</formula>
    </cfRule>
  </conditionalFormatting>
  <conditionalFormatting sqref="I90 I147:I148 I141 I121 I124 I112 I74 I43 I1 I11">
    <cfRule type="cellIs" priority="2" dxfId="1" operator="equal" stopIfTrue="1">
      <formula>"COMPLETE"</formula>
    </cfRule>
    <cfRule type="cellIs" priority="3" dxfId="2" operator="equal" stopIfTrue="1">
      <formula>"INCOMPLETE"</formula>
    </cfRule>
  </conditionalFormatting>
  <conditionalFormatting sqref="H147:H148">
    <cfRule type="cellIs" priority="4" dxfId="1" operator="equal" stopIfTrue="1">
      <formula>"COMPLETE"</formula>
    </cfRule>
    <cfRule type="cellIs" priority="5" dxfId="0" operator="equal" stopIfTrue="1">
      <formula>"IN-COMPLETE"</formula>
    </cfRule>
  </conditionalFormatting>
  <conditionalFormatting sqref="I81">
    <cfRule type="cellIs" priority="6" dxfId="1" operator="equal" stopIfTrue="1">
      <formula>"COMPLETE"</formula>
    </cfRule>
    <cfRule type="cellIs" priority="7" dxfId="2" operator="equal" stopIfTrue="1">
      <formula>"INCOMPLETE"</formula>
    </cfRule>
    <cfRule type="cellIs" priority="8" dxfId="2" operator="equal" stopIfTrue="1">
      <formula>"FAIL"</formula>
    </cfRule>
  </conditionalFormatting>
  <conditionalFormatting sqref="L27">
    <cfRule type="cellIs" priority="9" dxfId="3" operator="equal" stopIfTrue="1">
      <formula>"COMPLETE"</formula>
    </cfRule>
    <cfRule type="cellIs" priority="10" dxfId="2" operator="equal" stopIfTrue="1">
      <formula>"IN-COMPLETE"</formula>
    </cfRule>
  </conditionalFormatting>
  <dataValidations count="6">
    <dataValidation type="list" allowBlank="1" showInputMessage="1" showErrorMessage="1" promptTitle="Y or N" prompt="Y for Yes, N for No" errorTitle="Y or N" error="Y for Yes, N for No" sqref="I143 I76 I78 I59 I55 I47:I51 I61 I83:I88 I154 I145:I146 G161:G162 E95 E93 I107 I102 I97 G155:G156 E91 I149:I151 G152 I160 G158:G159 I166 G164:G165 I169:I172 I163 G167:G168 I157 G21:G22 I20 I28 G29:G31 I25 I23 G26:G27 I33:I34 I13:I18">
      <formula1>y_n</formula1>
    </dataValidation>
    <dataValidation type="whole" allowBlank="1" showInputMessage="1" showErrorMessage="1" promptTitle="Worst case port number" prompt="Enter the port number of the worst case port" errorTitle="Number of host controllers" error="Enter number of host controllers to be tested in product" sqref="I64:I66">
      <formula1>1</formula1>
      <formula2>16</formula2>
    </dataValidation>
    <dataValidation type="whole" allowBlank="1" showInputMessage="1" showErrorMessage="1" promptTitle="Number of host controllers" prompt="Enter number of host controllers to be tested in product" errorTitle="Number of host controllers" error="Enter number of host controllers to be tested in product" sqref="I44">
      <formula1>1</formula1>
      <formula2>5</formula2>
    </dataValidation>
    <dataValidation type="list" allowBlank="1" showInputMessage="1" showErrorMessage="1" promptTitle="Pick test lab or IW #" errorTitle="Pick test lab or IW #" sqref="D5">
      <formula1>test_labs</formula1>
    </dataValidation>
    <dataValidation type="list" allowBlank="1" showInputMessage="1" showErrorMessage="1" sqref="D9">
      <formula1>product_types</formula1>
    </dataValidation>
    <dataValidation type="whole" allowBlank="1" showInputMessage="1" showErrorMessage="1" promptTitle="Test ID" prompt="Enter valid test ID (minimum of 7, maximum of 9 decimal digits)" errorTitle="Enter Valid Test ID" error="Enter valid test ID (minimum of 7, maximum of 9 decimal digits)" sqref="D7">
      <formula1>1000000</formula1>
      <formula2>199999999</formula2>
    </dataValidation>
  </dataValidations>
  <printOptions/>
  <pageMargins left="0.5" right="0.5" top="0.75" bottom="0.75" header="0.5" footer="0.5"/>
  <pageSetup fitToHeight="4" horizontalDpi="300" verticalDpi="300" orientation="portrait" r:id="rId2"/>
  <headerFooter alignWithMargins="0">
    <oddFooter>&amp;L&amp;F / &amp;A&amp;CPage &amp;P of &amp;N&amp;R&amp;D &amp;T</oddFooter>
  </headerFooter>
  <rowBreaks count="5" manualBreakCount="5">
    <brk id="42" max="255" man="1"/>
    <brk id="80" max="255" man="1"/>
    <brk id="111" max="255" man="1"/>
    <brk id="146" max="255" man="1"/>
    <brk id="17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E7" sqref="E7"/>
    </sheetView>
  </sheetViews>
  <sheetFormatPr defaultColWidth="9.140625" defaultRowHeight="12.75"/>
  <cols>
    <col min="1" max="1" width="30.00390625" style="0" customWidth="1"/>
    <col min="2" max="2" width="52.8515625" style="0" bestFit="1" customWidth="1"/>
    <col min="3" max="3" width="10.28125" style="0" bestFit="1" customWidth="1"/>
    <col min="4" max="4" width="17.00390625" style="0" bestFit="1" customWidth="1"/>
    <col min="5" max="5" width="11.57421875" style="0" customWidth="1"/>
  </cols>
  <sheetData>
    <row r="1" spans="1:4" ht="12.75">
      <c r="A1" s="168" t="s">
        <v>282</v>
      </c>
      <c r="C1" s="169" t="s">
        <v>403</v>
      </c>
      <c r="D1" s="169"/>
    </row>
    <row r="2" spans="1:5" s="32" customFormat="1" ht="12.75">
      <c r="A2" s="143"/>
      <c r="E2" s="85"/>
    </row>
    <row r="3" spans="1:19" s="32" customFormat="1" ht="18" thickBot="1">
      <c r="A3" s="144" t="s">
        <v>54</v>
      </c>
      <c r="B3" s="196"/>
      <c r="F3" s="144"/>
      <c r="G3" s="144"/>
      <c r="J3" s="144"/>
      <c r="K3" s="144"/>
      <c r="N3" s="144"/>
      <c r="O3" s="144"/>
      <c r="R3" s="144"/>
      <c r="S3" s="144"/>
    </row>
    <row r="4" spans="1:18" s="32" customFormat="1" ht="18" thickBot="1">
      <c r="A4" s="144" t="s">
        <v>56</v>
      </c>
      <c r="B4" s="197"/>
      <c r="E4" s="144"/>
      <c r="F4" s="144"/>
      <c r="I4" s="144"/>
      <c r="J4" s="144"/>
      <c r="M4" s="144"/>
      <c r="N4" s="144"/>
      <c r="Q4" s="144"/>
      <c r="R4" s="144"/>
    </row>
    <row r="6" spans="1:5" ht="15">
      <c r="A6" s="170" t="s">
        <v>59</v>
      </c>
      <c r="B6" s="171" t="s">
        <v>222</v>
      </c>
      <c r="C6" s="172" t="s">
        <v>61</v>
      </c>
      <c r="D6" s="173" t="s">
        <v>219</v>
      </c>
      <c r="E6" s="174" t="s">
        <v>224</v>
      </c>
    </row>
    <row r="7" spans="1:6" ht="12.75">
      <c r="A7" s="275" t="s">
        <v>283</v>
      </c>
      <c r="B7" s="175" t="s">
        <v>284</v>
      </c>
      <c r="C7" s="176" t="s">
        <v>227</v>
      </c>
      <c r="D7" s="177"/>
      <c r="E7" s="178"/>
      <c r="F7" s="179"/>
    </row>
    <row r="8" spans="1:6" ht="12.75">
      <c r="A8" s="276"/>
      <c r="B8" s="175" t="s">
        <v>285</v>
      </c>
      <c r="C8" s="176" t="s">
        <v>227</v>
      </c>
      <c r="D8" s="177"/>
      <c r="E8" s="178"/>
      <c r="F8" s="179"/>
    </row>
    <row r="9" spans="1:8" ht="12.75">
      <c r="A9" s="276"/>
      <c r="B9" s="175" t="s">
        <v>286</v>
      </c>
      <c r="C9" s="180" t="s">
        <v>227</v>
      </c>
      <c r="D9" s="177"/>
      <c r="E9" s="178"/>
      <c r="F9" s="179"/>
      <c r="H9" s="181"/>
    </row>
    <row r="10" spans="1:6" ht="12.75">
      <c r="A10" s="276"/>
      <c r="B10" s="175" t="s">
        <v>287</v>
      </c>
      <c r="C10" s="180" t="s">
        <v>227</v>
      </c>
      <c r="D10" s="177"/>
      <c r="E10" s="178"/>
      <c r="F10" s="179"/>
    </row>
    <row r="11" spans="1:5" ht="12.75">
      <c r="A11" s="276"/>
      <c r="B11" s="175" t="s">
        <v>288</v>
      </c>
      <c r="C11" s="180" t="s">
        <v>227</v>
      </c>
      <c r="D11" s="182"/>
      <c r="E11" s="183"/>
    </row>
    <row r="12" spans="1:5" ht="12.75">
      <c r="A12" s="276"/>
      <c r="B12" s="175" t="s">
        <v>289</v>
      </c>
      <c r="C12" s="180" t="s">
        <v>227</v>
      </c>
      <c r="D12" s="182"/>
      <c r="E12" s="183"/>
    </row>
    <row r="13" spans="1:5" ht="12.75">
      <c r="A13" s="276"/>
      <c r="B13" s="175" t="s">
        <v>290</v>
      </c>
      <c r="C13" s="180" t="s">
        <v>227</v>
      </c>
      <c r="D13" s="182"/>
      <c r="E13" s="183"/>
    </row>
    <row r="14" spans="1:5" ht="12.75">
      <c r="A14" s="276"/>
      <c r="B14" s="175" t="s">
        <v>291</v>
      </c>
      <c r="C14" s="180" t="s">
        <v>227</v>
      </c>
      <c r="D14" s="182"/>
      <c r="E14" s="183"/>
    </row>
    <row r="15" spans="1:5" ht="12.75">
      <c r="A15" s="277"/>
      <c r="B15" s="175" t="s">
        <v>292</v>
      </c>
      <c r="C15" s="180" t="s">
        <v>227</v>
      </c>
      <c r="D15" s="182"/>
      <c r="E15" s="183"/>
    </row>
  </sheetData>
  <mergeCells count="1">
    <mergeCell ref="A7:A15"/>
  </mergeCells>
  <dataValidations count="1">
    <dataValidation type="whole" allowBlank="1" showInputMessage="1" showErrorMessage="1" promptTitle="Test ID" prompt="Enter valid test ID (minimum of 7, maximum of 9 decimal digits)" errorTitle="Enter Valid Test ID" error="Enter valid test ID (minimum of 7, maximum of 9 decimal digits)" sqref="B4">
      <formula1>1000000</formula1>
      <formula2>199999999</formula2>
    </dataValidation>
  </dataValidations>
  <printOptions/>
  <pageMargins left="0.75" right="0.75" top="0.5" bottom="0.75" header="0.5" footer="0.5"/>
  <pageSetup horizontalDpi="300" verticalDpi="300" orientation="landscape" r:id="rId1"/>
  <headerFooter alignWithMargins="0">
    <oddFooter>&amp;L&amp;F / &amp;A&amp;CPage &amp;P of 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C2" sqref="C2"/>
    </sheetView>
  </sheetViews>
  <sheetFormatPr defaultColWidth="9.140625" defaultRowHeight="12.75"/>
  <cols>
    <col min="1" max="1" width="30.00390625" style="0" customWidth="1"/>
    <col min="2" max="2" width="39.8515625" style="0" customWidth="1"/>
    <col min="3" max="3" width="10.28125" style="0" bestFit="1" customWidth="1"/>
    <col min="4" max="4" width="17.00390625" style="0" bestFit="1" customWidth="1"/>
  </cols>
  <sheetData>
    <row r="1" spans="1:4" ht="12.75">
      <c r="A1" s="168" t="s">
        <v>327</v>
      </c>
      <c r="C1" s="169" t="s">
        <v>403</v>
      </c>
      <c r="D1" s="169"/>
    </row>
    <row r="2" spans="1:5" s="32" customFormat="1" ht="12.75">
      <c r="A2" s="143"/>
      <c r="E2" s="85"/>
    </row>
    <row r="3" spans="1:19" s="32" customFormat="1" ht="18" thickBot="1">
      <c r="A3" s="144" t="s">
        <v>54</v>
      </c>
      <c r="B3" s="196"/>
      <c r="F3" s="144"/>
      <c r="G3" s="144"/>
      <c r="J3" s="144"/>
      <c r="K3" s="144"/>
      <c r="N3" s="144"/>
      <c r="O3" s="144"/>
      <c r="R3" s="144"/>
      <c r="S3" s="144"/>
    </row>
    <row r="4" spans="1:18" s="32" customFormat="1" ht="18" thickBot="1">
      <c r="A4" s="144" t="s">
        <v>56</v>
      </c>
      <c r="B4" s="197"/>
      <c r="E4" s="144"/>
      <c r="F4" s="144"/>
      <c r="I4" s="144"/>
      <c r="J4" s="144"/>
      <c r="M4" s="144"/>
      <c r="N4" s="144"/>
      <c r="Q4" s="144"/>
      <c r="R4" s="144"/>
    </row>
    <row r="5" spans="1:18" s="32" customFormat="1" ht="17.25">
      <c r="A5" s="144"/>
      <c r="B5" s="195"/>
      <c r="E5" s="144"/>
      <c r="F5" s="144"/>
      <c r="I5" s="144"/>
      <c r="J5" s="144"/>
      <c r="M5" s="144"/>
      <c r="N5" s="144"/>
      <c r="Q5" s="144"/>
      <c r="R5" s="144"/>
    </row>
    <row r="6" spans="1:4" ht="15">
      <c r="A6" s="170" t="s">
        <v>59</v>
      </c>
      <c r="B6" s="170" t="s">
        <v>222</v>
      </c>
      <c r="C6" s="172" t="s">
        <v>61</v>
      </c>
      <c r="D6" s="173" t="s">
        <v>219</v>
      </c>
    </row>
    <row r="7" spans="1:6" ht="12.75">
      <c r="A7" s="275" t="s">
        <v>293</v>
      </c>
      <c r="B7" s="184" t="s">
        <v>294</v>
      </c>
      <c r="C7" s="176" t="s">
        <v>227</v>
      </c>
      <c r="D7" s="177"/>
      <c r="E7" s="179"/>
      <c r="F7" s="179"/>
    </row>
    <row r="8" spans="1:9" ht="12.75">
      <c r="A8" s="276"/>
      <c r="B8" s="184" t="s">
        <v>294</v>
      </c>
      <c r="C8" s="176" t="s">
        <v>227</v>
      </c>
      <c r="D8" s="177"/>
      <c r="E8" s="179"/>
      <c r="F8" s="179"/>
      <c r="I8" s="181"/>
    </row>
    <row r="9" spans="1:6" ht="12.75">
      <c r="A9" s="276"/>
      <c r="B9" s="184" t="s">
        <v>294</v>
      </c>
      <c r="C9" s="180" t="s">
        <v>227</v>
      </c>
      <c r="D9" s="177"/>
      <c r="E9" s="179"/>
      <c r="F9" s="179"/>
    </row>
    <row r="10" spans="1:6" ht="12.75">
      <c r="A10" s="276"/>
      <c r="B10" s="184" t="s">
        <v>294</v>
      </c>
      <c r="C10" s="180" t="s">
        <v>227</v>
      </c>
      <c r="D10" s="177"/>
      <c r="E10" s="179"/>
      <c r="F10" s="179"/>
    </row>
    <row r="11" spans="1:4" ht="12.75">
      <c r="A11" s="276"/>
      <c r="B11" s="184" t="s">
        <v>294</v>
      </c>
      <c r="C11" s="180" t="s">
        <v>227</v>
      </c>
      <c r="D11" s="182"/>
    </row>
    <row r="12" spans="1:4" ht="12.75">
      <c r="A12" s="276"/>
      <c r="B12" s="184" t="s">
        <v>294</v>
      </c>
      <c r="C12" s="180" t="s">
        <v>227</v>
      </c>
      <c r="D12" s="182"/>
    </row>
    <row r="13" spans="1:4" ht="12.75">
      <c r="A13" s="276"/>
      <c r="B13" s="184" t="s">
        <v>294</v>
      </c>
      <c r="C13" s="180" t="s">
        <v>227</v>
      </c>
      <c r="D13" s="182"/>
    </row>
    <row r="14" spans="1:4" ht="12.75">
      <c r="A14" s="276"/>
      <c r="B14" s="184" t="s">
        <v>294</v>
      </c>
      <c r="C14" s="180" t="s">
        <v>227</v>
      </c>
      <c r="D14" s="182"/>
    </row>
    <row r="15" spans="1:4" ht="12.75">
      <c r="A15" s="277"/>
      <c r="B15" s="184" t="s">
        <v>294</v>
      </c>
      <c r="C15" s="180" t="s">
        <v>227</v>
      </c>
      <c r="D15" s="182"/>
    </row>
  </sheetData>
  <mergeCells count="1">
    <mergeCell ref="A7:A15"/>
  </mergeCells>
  <dataValidations count="1">
    <dataValidation type="whole" allowBlank="1" showInputMessage="1" showErrorMessage="1" promptTitle="Test ID" prompt="Enter valid test ID (minimum of 7, maximum of 9 decimal digits)" errorTitle="Enter Valid Test ID" error="Enter valid test ID (minimum of 7, maximum of 9 decimal digits)" sqref="B4:B5">
      <formula1>1000000</formula1>
      <formula2>199999999</formula2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A11" sqref="A11"/>
    </sheetView>
  </sheetViews>
  <sheetFormatPr defaultColWidth="9.140625" defaultRowHeight="12.75" outlineLevelRow="1" outlineLevelCol="1"/>
  <cols>
    <col min="1" max="1" width="8.8515625" style="206" customWidth="1" outlineLevel="1"/>
    <col min="2" max="2" width="3.8515625" style="207" customWidth="1" outlineLevel="1"/>
    <col min="3" max="3" width="2.00390625" style="186" customWidth="1" outlineLevel="1"/>
    <col min="4" max="4" width="3.7109375" style="0" customWidth="1"/>
    <col min="5" max="5" width="4.28125" style="0" customWidth="1"/>
    <col min="6" max="6" width="3.7109375" style="0" customWidth="1"/>
    <col min="7" max="7" width="4.421875" style="0" customWidth="1"/>
  </cols>
  <sheetData>
    <row r="1" spans="1:6" ht="12.75">
      <c r="A1" s="206" t="s">
        <v>314</v>
      </c>
      <c r="B1" s="207" t="s">
        <v>315</v>
      </c>
      <c r="D1" t="s">
        <v>316</v>
      </c>
      <c r="E1" s="186" t="s">
        <v>317</v>
      </c>
      <c r="F1" s="186" t="s">
        <v>318</v>
      </c>
    </row>
    <row r="2" spans="1:6" ht="12.75" outlineLevel="1">
      <c r="A2" s="206">
        <v>39204</v>
      </c>
      <c r="B2" s="207" t="s">
        <v>343</v>
      </c>
      <c r="D2" t="s">
        <v>355</v>
      </c>
      <c r="E2" s="186"/>
      <c r="F2" s="186"/>
    </row>
    <row r="3" spans="1:6" ht="12.75" outlineLevel="1">
      <c r="A3" s="206">
        <v>39204</v>
      </c>
      <c r="B3" s="207" t="s">
        <v>343</v>
      </c>
      <c r="D3" t="s">
        <v>356</v>
      </c>
      <c r="E3" s="186"/>
      <c r="F3" s="186"/>
    </row>
    <row r="4" spans="1:6" ht="12.75" outlineLevel="1">
      <c r="A4" s="206">
        <v>39209</v>
      </c>
      <c r="B4" s="207" t="s">
        <v>361</v>
      </c>
      <c r="D4" t="s">
        <v>371</v>
      </c>
      <c r="E4" s="186"/>
      <c r="F4" s="186"/>
    </row>
    <row r="5" ht="12.75">
      <c r="D5" t="s">
        <v>297</v>
      </c>
    </row>
    <row r="6" spans="1:5" ht="12.75">
      <c r="A6" s="206">
        <v>39294</v>
      </c>
      <c r="B6" s="207" t="s">
        <v>407</v>
      </c>
      <c r="E6" t="s">
        <v>450</v>
      </c>
    </row>
    <row r="7" spans="1:5" ht="12.75">
      <c r="A7" s="206">
        <v>39294</v>
      </c>
      <c r="B7" s="207" t="s">
        <v>407</v>
      </c>
      <c r="E7" t="s">
        <v>451</v>
      </c>
    </row>
    <row r="8" spans="1:5" ht="12.75">
      <c r="A8" s="206">
        <v>39294</v>
      </c>
      <c r="B8" s="207" t="s">
        <v>407</v>
      </c>
      <c r="E8" t="s">
        <v>452</v>
      </c>
    </row>
    <row r="9" spans="1:5" ht="12.75">
      <c r="A9" s="206">
        <v>39294</v>
      </c>
      <c r="B9" s="207" t="s">
        <v>407</v>
      </c>
      <c r="E9" t="s">
        <v>453</v>
      </c>
    </row>
    <row r="10" spans="1:5" ht="12.75">
      <c r="A10" s="206">
        <v>39394</v>
      </c>
      <c r="B10" s="207" t="s">
        <v>671</v>
      </c>
      <c r="E10" t="s">
        <v>672</v>
      </c>
    </row>
    <row r="11" ht="12.75">
      <c r="D11" t="s">
        <v>296</v>
      </c>
    </row>
    <row r="12" spans="1:14" ht="26.25" customHeight="1" outlineLevel="1">
      <c r="A12" s="206">
        <v>39209</v>
      </c>
      <c r="B12" s="207" t="s">
        <v>361</v>
      </c>
      <c r="E12" s="278" t="s">
        <v>368</v>
      </c>
      <c r="F12" s="278"/>
      <c r="G12" s="278"/>
      <c r="H12" s="278"/>
      <c r="I12" s="278"/>
      <c r="J12" s="278"/>
      <c r="K12" s="278"/>
      <c r="L12" s="278"/>
      <c r="M12" s="278"/>
      <c r="N12" s="278"/>
    </row>
    <row r="13" spans="1:14" ht="26.25" customHeight="1" outlineLevel="1">
      <c r="A13" s="206">
        <v>39209</v>
      </c>
      <c r="B13" s="207" t="s">
        <v>361</v>
      </c>
      <c r="E13" s="278" t="s">
        <v>369</v>
      </c>
      <c r="F13" s="278"/>
      <c r="G13" s="278"/>
      <c r="H13" s="278"/>
      <c r="I13" s="278"/>
      <c r="J13" s="278"/>
      <c r="K13" s="278"/>
      <c r="L13" s="278"/>
      <c r="M13" s="278"/>
      <c r="N13" s="278"/>
    </row>
    <row r="14" ht="12.75">
      <c r="E14" t="s">
        <v>329</v>
      </c>
    </row>
    <row r="15" spans="1:6" ht="12.75" outlineLevel="1">
      <c r="A15" s="206">
        <v>39195</v>
      </c>
      <c r="B15" s="207" t="s">
        <v>331</v>
      </c>
      <c r="F15" s="187" t="s">
        <v>307</v>
      </c>
    </row>
    <row r="16" spans="1:6" ht="12.75" outlineLevel="1">
      <c r="A16" s="206">
        <v>39195</v>
      </c>
      <c r="B16" s="207" t="s">
        <v>331</v>
      </c>
      <c r="F16" s="187" t="s">
        <v>308</v>
      </c>
    </row>
    <row r="17" spans="1:6" ht="12.75" outlineLevel="1">
      <c r="A17" s="206">
        <v>39195</v>
      </c>
      <c r="B17" s="207" t="s">
        <v>331</v>
      </c>
      <c r="F17" s="187" t="s">
        <v>309</v>
      </c>
    </row>
    <row r="18" spans="1:6" ht="12.75" outlineLevel="1" collapsed="1">
      <c r="A18" s="206">
        <v>39204</v>
      </c>
      <c r="B18" s="207" t="s">
        <v>343</v>
      </c>
      <c r="F18" s="187" t="s">
        <v>349</v>
      </c>
    </row>
    <row r="19" spans="1:6" ht="12.75" outlineLevel="1">
      <c r="A19" s="206">
        <v>39204</v>
      </c>
      <c r="B19" s="207" t="s">
        <v>343</v>
      </c>
      <c r="E19" t="s">
        <v>346</v>
      </c>
      <c r="F19" s="187"/>
    </row>
    <row r="20" spans="1:6" ht="12.75" outlineLevel="1">
      <c r="A20" s="206">
        <v>39207</v>
      </c>
      <c r="B20" s="207" t="s">
        <v>361</v>
      </c>
      <c r="E20" t="s">
        <v>376</v>
      </c>
      <c r="F20" s="187"/>
    </row>
    <row r="21" spans="1:6" ht="12.75" outlineLevel="1">
      <c r="A21" s="206">
        <v>39212</v>
      </c>
      <c r="B21" s="207" t="s">
        <v>373</v>
      </c>
      <c r="E21" t="s">
        <v>377</v>
      </c>
      <c r="F21" s="187"/>
    </row>
    <row r="22" spans="1:6" ht="12.75" outlineLevel="1">
      <c r="A22" s="206">
        <v>39204</v>
      </c>
      <c r="B22" s="207" t="s">
        <v>343</v>
      </c>
      <c r="E22" t="s">
        <v>347</v>
      </c>
      <c r="F22" s="187"/>
    </row>
    <row r="23" spans="1:6" ht="12.75" outlineLevel="1" collapsed="1">
      <c r="A23" s="206">
        <v>39212</v>
      </c>
      <c r="B23" s="207" t="s">
        <v>373</v>
      </c>
      <c r="E23" t="s">
        <v>372</v>
      </c>
      <c r="F23" s="187"/>
    </row>
    <row r="24" spans="1:6" ht="12.75" outlineLevel="1">
      <c r="A24" s="206">
        <v>39212</v>
      </c>
      <c r="B24" s="207" t="s">
        <v>373</v>
      </c>
      <c r="E24" t="s">
        <v>374</v>
      </c>
      <c r="F24" s="187"/>
    </row>
    <row r="25" spans="1:14" ht="26.25" customHeight="1" outlineLevel="1" collapsed="1">
      <c r="A25" s="206">
        <v>39209</v>
      </c>
      <c r="B25" s="207" t="s">
        <v>361</v>
      </c>
      <c r="E25" s="278" t="s">
        <v>370</v>
      </c>
      <c r="F25" s="278"/>
      <c r="G25" s="278"/>
      <c r="H25" s="278"/>
      <c r="I25" s="278"/>
      <c r="J25" s="278"/>
      <c r="K25" s="278"/>
      <c r="L25" s="278"/>
      <c r="M25" s="278"/>
      <c r="N25" s="278"/>
    </row>
    <row r="26" spans="1:6" ht="12.75">
      <c r="A26" s="206">
        <v>39239</v>
      </c>
      <c r="B26" s="207" t="s">
        <v>390</v>
      </c>
      <c r="E26" t="s">
        <v>398</v>
      </c>
      <c r="F26" s="187"/>
    </row>
    <row r="27" spans="1:6" ht="12.75">
      <c r="A27" s="206">
        <v>39294</v>
      </c>
      <c r="B27" s="207" t="s">
        <v>407</v>
      </c>
      <c r="E27" t="s">
        <v>408</v>
      </c>
      <c r="F27" s="187"/>
    </row>
    <row r="28" ht="12.75">
      <c r="D28" t="s">
        <v>298</v>
      </c>
    </row>
    <row r="29" ht="12.75">
      <c r="E29" t="s">
        <v>330</v>
      </c>
    </row>
    <row r="30" spans="1:6" ht="12.75" outlineLevel="1">
      <c r="A30" s="206">
        <v>39195</v>
      </c>
      <c r="B30" s="207" t="s">
        <v>331</v>
      </c>
      <c r="F30" t="s">
        <v>310</v>
      </c>
    </row>
    <row r="31" spans="1:7" ht="12.75" outlineLevel="1">
      <c r="A31" s="206">
        <v>39195</v>
      </c>
      <c r="B31" s="207" t="s">
        <v>331</v>
      </c>
      <c r="G31" t="s">
        <v>311</v>
      </c>
    </row>
    <row r="32" spans="1:6" ht="12.75">
      <c r="A32" s="206">
        <v>39255</v>
      </c>
      <c r="B32" s="207" t="s">
        <v>405</v>
      </c>
      <c r="F32" t="s">
        <v>406</v>
      </c>
    </row>
    <row r="33" spans="1:5" ht="12.75" outlineLevel="1" collapsed="1">
      <c r="A33" s="206">
        <v>39204</v>
      </c>
      <c r="B33" s="207" t="s">
        <v>343</v>
      </c>
      <c r="E33" t="s">
        <v>358</v>
      </c>
    </row>
    <row r="34" spans="1:6" ht="12.75" outlineLevel="1">
      <c r="A34" s="206">
        <v>39204</v>
      </c>
      <c r="B34" s="207" t="s">
        <v>343</v>
      </c>
      <c r="F34" t="s">
        <v>359</v>
      </c>
    </row>
    <row r="35" ht="12.75">
      <c r="D35" t="s">
        <v>299</v>
      </c>
    </row>
    <row r="36" spans="1:5" ht="12.75" outlineLevel="1">
      <c r="A36" s="206">
        <v>39195</v>
      </c>
      <c r="B36" s="207" t="s">
        <v>331</v>
      </c>
      <c r="E36" t="s">
        <v>341</v>
      </c>
    </row>
    <row r="37" spans="1:6" ht="12.75" outlineLevel="1">
      <c r="A37" s="206">
        <v>39195</v>
      </c>
      <c r="B37" s="207" t="s">
        <v>331</v>
      </c>
      <c r="F37" s="187" t="s">
        <v>312</v>
      </c>
    </row>
    <row r="38" spans="1:6" ht="12.75" outlineLevel="1">
      <c r="A38" s="206">
        <v>39195</v>
      </c>
      <c r="B38" s="207" t="s">
        <v>331</v>
      </c>
      <c r="F38" s="187" t="s">
        <v>339</v>
      </c>
    </row>
    <row r="39" spans="1:6" ht="12.75" outlineLevel="1">
      <c r="A39" s="206">
        <v>39195</v>
      </c>
      <c r="B39" s="207" t="s">
        <v>331</v>
      </c>
      <c r="F39" s="187" t="s">
        <v>313</v>
      </c>
    </row>
    <row r="40" spans="1:6" ht="12.75" outlineLevel="1">
      <c r="A40" s="206">
        <v>39204</v>
      </c>
      <c r="B40" s="207" t="s">
        <v>343</v>
      </c>
      <c r="E40" t="s">
        <v>348</v>
      </c>
      <c r="F40" s="187"/>
    </row>
    <row r="41" spans="1:6" ht="12.75" outlineLevel="1" collapsed="1">
      <c r="A41" s="206">
        <v>39212</v>
      </c>
      <c r="B41" s="207" t="s">
        <v>373</v>
      </c>
      <c r="E41" t="s">
        <v>375</v>
      </c>
      <c r="F41" s="187"/>
    </row>
    <row r="42" spans="1:6" ht="12.75" outlineLevel="1" collapsed="1">
      <c r="A42" s="206">
        <v>39218</v>
      </c>
      <c r="B42" s="207" t="s">
        <v>373</v>
      </c>
      <c r="E42" t="s">
        <v>380</v>
      </c>
      <c r="F42" s="187"/>
    </row>
    <row r="43" spans="1:6" ht="12.75">
      <c r="A43" s="206">
        <v>39218</v>
      </c>
      <c r="B43" s="207" t="s">
        <v>385</v>
      </c>
      <c r="E43" t="s">
        <v>384</v>
      </c>
      <c r="F43" s="187"/>
    </row>
    <row r="44" spans="1:6" ht="12.75">
      <c r="A44" s="206">
        <v>39218</v>
      </c>
      <c r="B44" s="207" t="s">
        <v>385</v>
      </c>
      <c r="E44" t="s">
        <v>381</v>
      </c>
      <c r="F44" s="187"/>
    </row>
    <row r="45" spans="1:6" ht="12.75">
      <c r="A45" s="206">
        <v>39218</v>
      </c>
      <c r="B45" s="207" t="s">
        <v>385</v>
      </c>
      <c r="E45" t="s">
        <v>382</v>
      </c>
      <c r="F45" s="187"/>
    </row>
    <row r="46" spans="1:6" ht="12.75">
      <c r="A46" s="206">
        <v>39218</v>
      </c>
      <c r="B46" s="207" t="s">
        <v>385</v>
      </c>
      <c r="E46" t="s">
        <v>383</v>
      </c>
      <c r="F46" s="187"/>
    </row>
    <row r="47" spans="1:6" ht="12.75">
      <c r="A47" s="206">
        <v>39218</v>
      </c>
      <c r="B47" s="207" t="s">
        <v>385</v>
      </c>
      <c r="E47" t="s">
        <v>387</v>
      </c>
      <c r="F47" s="187"/>
    </row>
    <row r="48" spans="1:6" ht="12.75">
      <c r="A48" s="206">
        <v>39239</v>
      </c>
      <c r="B48" s="207" t="s">
        <v>390</v>
      </c>
      <c r="E48" t="s">
        <v>396</v>
      </c>
      <c r="F48" s="187"/>
    </row>
    <row r="49" spans="1:6" ht="12.75">
      <c r="A49" s="206">
        <v>39239</v>
      </c>
      <c r="B49" s="207" t="s">
        <v>390</v>
      </c>
      <c r="E49" t="s">
        <v>392</v>
      </c>
      <c r="F49" s="187"/>
    </row>
    <row r="50" spans="1:6" ht="12.75">
      <c r="A50" s="206">
        <v>39239</v>
      </c>
      <c r="B50" s="207" t="s">
        <v>390</v>
      </c>
      <c r="E50" t="s">
        <v>393</v>
      </c>
      <c r="F50" s="187"/>
    </row>
    <row r="51" spans="1:6" ht="12.75">
      <c r="A51" s="206">
        <v>39239</v>
      </c>
      <c r="B51" s="207" t="s">
        <v>390</v>
      </c>
      <c r="E51" t="s">
        <v>394</v>
      </c>
      <c r="F51" s="187"/>
    </row>
    <row r="52" spans="1:6" ht="12.75">
      <c r="A52" s="206">
        <v>39239</v>
      </c>
      <c r="B52" s="207" t="s">
        <v>390</v>
      </c>
      <c r="E52" t="s">
        <v>395</v>
      </c>
      <c r="F52" s="187"/>
    </row>
    <row r="53" spans="1:6" ht="12.75">
      <c r="A53" s="206">
        <v>39239</v>
      </c>
      <c r="B53" s="207" t="s">
        <v>390</v>
      </c>
      <c r="E53" t="s">
        <v>391</v>
      </c>
      <c r="F53" s="187"/>
    </row>
    <row r="54" spans="1:6" ht="12.75">
      <c r="A54" s="206">
        <v>39241</v>
      </c>
      <c r="B54" s="207" t="s">
        <v>401</v>
      </c>
      <c r="E54" t="s">
        <v>402</v>
      </c>
      <c r="F54" s="187"/>
    </row>
    <row r="55" ht="12.75">
      <c r="D55" t="s">
        <v>300</v>
      </c>
    </row>
    <row r="56" spans="1:5" ht="12.75" outlineLevel="1">
      <c r="A56" s="206">
        <v>39195</v>
      </c>
      <c r="B56" s="207" t="s">
        <v>331</v>
      </c>
      <c r="E56" t="s">
        <v>324</v>
      </c>
    </row>
    <row r="57" spans="1:5" ht="12.75" outlineLevel="1">
      <c r="A57" s="206">
        <v>39195</v>
      </c>
      <c r="B57" s="207" t="s">
        <v>331</v>
      </c>
      <c r="E57" t="s">
        <v>325</v>
      </c>
    </row>
    <row r="58" ht="12.75">
      <c r="D58" t="s">
        <v>301</v>
      </c>
    </row>
    <row r="59" spans="1:5" ht="12.75" outlineLevel="1">
      <c r="A59" s="206">
        <v>39195</v>
      </c>
      <c r="B59" s="207" t="s">
        <v>331</v>
      </c>
      <c r="E59" t="s">
        <v>324</v>
      </c>
    </row>
    <row r="60" spans="1:5" ht="12.75" outlineLevel="1">
      <c r="A60" s="206">
        <v>39195</v>
      </c>
      <c r="B60" s="207" t="s">
        <v>331</v>
      </c>
      <c r="E60" t="s">
        <v>325</v>
      </c>
    </row>
    <row r="61" ht="12.75">
      <c r="D61" t="s">
        <v>302</v>
      </c>
    </row>
    <row r="62" spans="1:5" ht="12.75" outlineLevel="1">
      <c r="A62" s="206">
        <v>39195</v>
      </c>
      <c r="B62" s="207" t="s">
        <v>331</v>
      </c>
      <c r="E62" t="s">
        <v>324</v>
      </c>
    </row>
    <row r="63" spans="1:5" ht="12.75" outlineLevel="1">
      <c r="A63" s="206">
        <v>39195</v>
      </c>
      <c r="B63" s="207" t="s">
        <v>331</v>
      </c>
      <c r="E63" t="s">
        <v>325</v>
      </c>
    </row>
    <row r="64" ht="12.75">
      <c r="D64" t="s">
        <v>303</v>
      </c>
    </row>
    <row r="65" spans="1:5" ht="12.75" outlineLevel="1">
      <c r="A65" s="206">
        <v>39195</v>
      </c>
      <c r="B65" s="207" t="s">
        <v>331</v>
      </c>
      <c r="E65" t="s">
        <v>326</v>
      </c>
    </row>
    <row r="66" spans="1:5" ht="12.75" outlineLevel="1">
      <c r="A66" s="206">
        <v>39195</v>
      </c>
      <c r="B66" s="207" t="s">
        <v>331</v>
      </c>
      <c r="E66" t="s">
        <v>324</v>
      </c>
    </row>
    <row r="67" spans="1:5" ht="12.75" outlineLevel="1">
      <c r="A67" s="206">
        <v>39195</v>
      </c>
      <c r="B67" s="207" t="s">
        <v>331</v>
      </c>
      <c r="E67" t="s">
        <v>325</v>
      </c>
    </row>
    <row r="68" spans="1:5" ht="12.75" outlineLevel="1" collapsed="1">
      <c r="A68" s="206">
        <v>39204</v>
      </c>
      <c r="B68" s="207" t="s">
        <v>343</v>
      </c>
      <c r="E68" t="s">
        <v>357</v>
      </c>
    </row>
    <row r="69" spans="1:5" ht="12.75" outlineLevel="1">
      <c r="A69" s="206">
        <v>39204</v>
      </c>
      <c r="B69" s="207" t="s">
        <v>343</v>
      </c>
      <c r="E69" t="s">
        <v>344</v>
      </c>
    </row>
    <row r="70" spans="1:5" ht="12.75" outlineLevel="1" collapsed="1">
      <c r="A70" s="206">
        <v>39205</v>
      </c>
      <c r="B70" s="207" t="s">
        <v>361</v>
      </c>
      <c r="E70" t="s">
        <v>360</v>
      </c>
    </row>
    <row r="71" ht="12.75">
      <c r="D71" t="s">
        <v>304</v>
      </c>
    </row>
    <row r="72" ht="12.75">
      <c r="D72" t="s">
        <v>305</v>
      </c>
    </row>
    <row r="73" ht="12.75">
      <c r="D73" t="s">
        <v>306</v>
      </c>
    </row>
    <row r="74" ht="12.75">
      <c r="D74" t="s">
        <v>276</v>
      </c>
    </row>
    <row r="75" spans="1:5" ht="12.75">
      <c r="A75" s="206">
        <v>39218</v>
      </c>
      <c r="E75" t="s">
        <v>386</v>
      </c>
    </row>
  </sheetData>
  <sheetProtection/>
  <mergeCells count="3">
    <mergeCell ref="E12:N12"/>
    <mergeCell ref="E13:N13"/>
    <mergeCell ref="E25:N25"/>
  </mergeCells>
  <printOptions/>
  <pageMargins left="0.5" right="0.5" top="0.75" bottom="0.75" header="0.5" footer="0.5"/>
  <pageSetup horizontalDpi="300" verticalDpi="300" orientation="portrait" r:id="rId1"/>
  <headerFooter alignWithMargins="0">
    <oddHeader>&amp;CInteroperability Template Change List</oddHeader>
    <oddFooter>&amp;L&amp;F / &amp;A&amp;CPage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="75" zoomScaleNormal="75" workbookViewId="0" topLeftCell="A1">
      <selection activeCell="A28" sqref="A28"/>
    </sheetView>
  </sheetViews>
  <sheetFormatPr defaultColWidth="9.140625" defaultRowHeight="12.75" outlineLevelCol="1"/>
  <cols>
    <col min="1" max="1" width="44.421875" style="32" customWidth="1"/>
    <col min="2" max="2" width="8.28125" style="32" customWidth="1" outlineLevel="1"/>
    <col min="3" max="3" width="17.00390625" style="32" bestFit="1" customWidth="1" outlineLevel="1"/>
    <col min="4" max="4" width="26.57421875" style="32" bestFit="1" customWidth="1"/>
    <col min="5" max="5" width="15.140625" style="32" bestFit="1" customWidth="1"/>
    <col min="6" max="6" width="17.7109375" style="32" bestFit="1" customWidth="1"/>
    <col min="7" max="7" width="10.28125" style="32" customWidth="1"/>
    <col min="8" max="8" width="10.140625" style="32" bestFit="1" customWidth="1"/>
    <col min="9" max="9" width="10.28125" style="32" bestFit="1" customWidth="1"/>
    <col min="10" max="10" width="8.28125" style="15" hidden="1" customWidth="1"/>
    <col min="11" max="11" width="11.421875" style="32" customWidth="1"/>
    <col min="12" max="12" width="12.28125" style="31" customWidth="1"/>
    <col min="13" max="13" width="11.421875" style="32" customWidth="1"/>
    <col min="14" max="14" width="12.00390625" style="31" customWidth="1"/>
    <col min="15" max="15" width="41.28125" style="32" customWidth="1"/>
    <col min="16" max="16384" width="8.8515625" style="32" customWidth="1"/>
  </cols>
  <sheetData>
    <row r="1" spans="1:15" ht="18">
      <c r="A1" s="28" t="s">
        <v>52</v>
      </c>
      <c r="B1" s="28"/>
      <c r="C1" s="28"/>
      <c r="D1" s="29" t="s">
        <v>480</v>
      </c>
      <c r="E1" s="15"/>
      <c r="F1" s="30" t="s">
        <v>53</v>
      </c>
      <c r="G1" s="15"/>
      <c r="H1" s="15"/>
      <c r="I1" s="15"/>
      <c r="K1" s="15"/>
      <c r="M1" s="15"/>
      <c r="O1" s="15"/>
    </row>
    <row r="2" spans="1:15" ht="18">
      <c r="A2" s="15"/>
      <c r="B2" s="15"/>
      <c r="C2" s="15"/>
      <c r="D2" s="15"/>
      <c r="E2" s="15"/>
      <c r="F2" s="30" t="s">
        <v>354</v>
      </c>
      <c r="G2" s="15"/>
      <c r="H2" s="15"/>
      <c r="I2" s="15"/>
      <c r="K2" s="15"/>
      <c r="M2" s="15"/>
      <c r="O2" s="15"/>
    </row>
    <row r="3" spans="1:15" ht="18.75" thickBot="1">
      <c r="A3" s="33" t="s">
        <v>54</v>
      </c>
      <c r="B3" s="33"/>
      <c r="C3" s="33"/>
      <c r="D3" s="196"/>
      <c r="F3" s="30" t="s">
        <v>55</v>
      </c>
      <c r="G3" s="15"/>
      <c r="H3" s="15"/>
      <c r="I3" s="15"/>
      <c r="K3" s="15"/>
      <c r="M3" s="15"/>
      <c r="O3" s="15"/>
    </row>
    <row r="4" spans="1:15" ht="18.75" thickBot="1">
      <c r="A4" s="33" t="s">
        <v>56</v>
      </c>
      <c r="B4" s="33"/>
      <c r="C4" s="33"/>
      <c r="D4" s="197"/>
      <c r="E4" s="193"/>
      <c r="F4" s="30"/>
      <c r="G4" s="15"/>
      <c r="H4" s="15"/>
      <c r="I4" s="15"/>
      <c r="K4" s="15"/>
      <c r="M4" s="15"/>
      <c r="O4" s="15"/>
    </row>
    <row r="5" spans="1:15" ht="18">
      <c r="A5" s="33"/>
      <c r="B5" s="33"/>
      <c r="C5" s="33"/>
      <c r="F5" s="15"/>
      <c r="G5" s="15"/>
      <c r="H5" s="15"/>
      <c r="I5" s="15"/>
      <c r="K5" s="15"/>
      <c r="M5" s="15"/>
      <c r="O5" s="15"/>
    </row>
    <row r="6" spans="1:15" ht="12.75">
      <c r="A6" s="15"/>
      <c r="B6" t="s">
        <v>464</v>
      </c>
      <c r="C6" t="s">
        <v>480</v>
      </c>
      <c r="G6" s="15"/>
      <c r="H6" s="15"/>
      <c r="I6" s="15"/>
      <c r="K6" s="34" t="str">
        <f>IF(OR(COUNTIF(L8:L84,"UNK")&gt;0,COUNTIF(L8:L84,"INVALID")&gt;0),"INCOMPLETE","COMPLETE")</f>
        <v>INCOMPLETE</v>
      </c>
      <c r="L6" s="45" t="str">
        <f>IF(COUNTIF(L8:L84,"FAIL")&gt;0,"FAIL",IF(OR(COUNTIF(L8:L84,"INVALID")&gt;0,COUNTIF(L8:L84,"UNK")&gt;0),"UNK","PASS"))</f>
        <v>UNK</v>
      </c>
      <c r="M6" s="34" t="str">
        <f>IF(OR(COUNTIF(N8:N84,"UNK")&gt;0,COUNTIF(N8:N84,"INVALID")&gt;0),"INCOMPLETE","COMPLETE")</f>
        <v>INCOMPLETE</v>
      </c>
      <c r="N6" s="45" t="str">
        <f>IF(COUNTIF(N8:N84,"FAIL")&gt;0,"FAIL",IF(OR(COUNTIF(N8:N84,"INVALID")&gt;0,COUNTIF(N8:N84,"UNK")&gt;0),"UNK","PASS"))</f>
        <v>UNK</v>
      </c>
      <c r="O6" s="15" t="s">
        <v>58</v>
      </c>
    </row>
    <row r="7" spans="1:15" s="43" customFormat="1" ht="38.25">
      <c r="A7" s="35" t="s">
        <v>59</v>
      </c>
      <c r="B7" s="35" t="s">
        <v>462</v>
      </c>
      <c r="C7" s="35" t="s">
        <v>463</v>
      </c>
      <c r="D7" s="36" t="s">
        <v>60</v>
      </c>
      <c r="E7" s="37" t="s">
        <v>61</v>
      </c>
      <c r="F7" s="37" t="s">
        <v>62</v>
      </c>
      <c r="G7" s="37" t="s">
        <v>63</v>
      </c>
      <c r="H7" s="38" t="s">
        <v>350</v>
      </c>
      <c r="I7" s="38" t="s">
        <v>351</v>
      </c>
      <c r="J7" s="39" t="s">
        <v>66</v>
      </c>
      <c r="K7" s="40" t="s">
        <v>67</v>
      </c>
      <c r="L7" s="41" t="s">
        <v>68</v>
      </c>
      <c r="M7" s="40" t="s">
        <v>69</v>
      </c>
      <c r="N7" s="41" t="s">
        <v>70</v>
      </c>
      <c r="O7" s="42" t="s">
        <v>71</v>
      </c>
    </row>
    <row r="8" spans="1:15" ht="12.75">
      <c r="A8" s="44" t="s">
        <v>72</v>
      </c>
      <c r="B8" s="44" t="s">
        <v>461</v>
      </c>
      <c r="C8" s="44" t="s">
        <v>466</v>
      </c>
      <c r="D8" s="45" t="s">
        <v>73</v>
      </c>
      <c r="E8" s="46" t="s">
        <v>74</v>
      </c>
      <c r="F8" s="46" t="s">
        <v>75</v>
      </c>
      <c r="G8" s="46" t="s">
        <v>76</v>
      </c>
      <c r="H8" s="45">
        <v>666.4333</v>
      </c>
      <c r="I8" s="45">
        <v>670.2333</v>
      </c>
      <c r="J8" s="45">
        <f aca="true" t="shared" si="0" ref="J8:J15">(I8-H8)*10%</f>
        <v>0.37999999999999545</v>
      </c>
      <c r="K8" s="47"/>
      <c r="L8" s="45" t="str">
        <f>IF(ISBLANK(K8),"UNK",IF(AND(K8&lt;=$I8,K8&gt;=$H8),"PASS","FAIL"))</f>
        <v>UNK</v>
      </c>
      <c r="M8" s="47"/>
      <c r="N8" s="45" t="str">
        <f>IF(ISBLANK(M8),"UNK",IF(AND(M8&lt;=$I8,M8&gt;=$H8),"PASS","FAIL"))</f>
        <v>UNK</v>
      </c>
      <c r="O8" s="48"/>
    </row>
    <row r="9" spans="1:15" ht="12.75">
      <c r="A9" s="44"/>
      <c r="B9" s="44" t="s">
        <v>465</v>
      </c>
      <c r="C9" s="44" t="s">
        <v>467</v>
      </c>
      <c r="D9" s="45"/>
      <c r="E9" s="46" t="s">
        <v>74</v>
      </c>
      <c r="F9" s="46" t="s">
        <v>75</v>
      </c>
      <c r="G9" s="46" t="s">
        <v>77</v>
      </c>
      <c r="H9" s="45">
        <v>333.2167</v>
      </c>
      <c r="I9" s="45">
        <v>335.1167</v>
      </c>
      <c r="J9" s="45">
        <f t="shared" si="0"/>
        <v>0.18999999999999773</v>
      </c>
      <c r="K9" s="49"/>
      <c r="L9" s="50"/>
      <c r="M9" s="47"/>
      <c r="N9" s="45" t="str">
        <f>IF(ISBLANK(M9),"UNK",IF(AND(M9&lt;=$I9,M9&gt;=$H9),"PASS","FAIL"))</f>
        <v>UNK</v>
      </c>
      <c r="O9" s="48"/>
    </row>
    <row r="10" spans="1:15" ht="12.75">
      <c r="A10" s="44" t="s">
        <v>78</v>
      </c>
      <c r="B10" s="44" t="s">
        <v>468</v>
      </c>
      <c r="C10" s="44" t="s">
        <v>472</v>
      </c>
      <c r="D10" s="45" t="s">
        <v>79</v>
      </c>
      <c r="E10" s="46" t="s">
        <v>80</v>
      </c>
      <c r="F10" s="46" t="s">
        <v>75</v>
      </c>
      <c r="G10" s="46" t="s">
        <v>76</v>
      </c>
      <c r="H10" s="45">
        <v>-350</v>
      </c>
      <c r="I10" s="45">
        <v>350</v>
      </c>
      <c r="J10" s="45">
        <f t="shared" si="0"/>
        <v>70</v>
      </c>
      <c r="K10" s="47"/>
      <c r="L10" s="45" t="str">
        <f>IF(AND(NOT(ISBLANK(K10)),NOT(ISBLANK(K11))),"DUPE",IF(ISBLANK(K10),IF(NOT(ISBLANK(K11)),"","UNK"),IF(AND(K10&lt;=$I10,K10&gt;=$H10),"PASS","FAIL")))</f>
        <v>UNK</v>
      </c>
      <c r="M10" s="49"/>
      <c r="N10" s="50"/>
      <c r="O10" s="48" t="s">
        <v>81</v>
      </c>
    </row>
    <row r="11" spans="1:15" ht="12.75">
      <c r="A11" s="44"/>
      <c r="B11" s="44" t="s">
        <v>469</v>
      </c>
      <c r="C11" s="44" t="s">
        <v>473</v>
      </c>
      <c r="D11" s="45" t="s">
        <v>82</v>
      </c>
      <c r="E11" s="46" t="s">
        <v>80</v>
      </c>
      <c r="F11" s="46" t="s">
        <v>75</v>
      </c>
      <c r="G11" s="46" t="s">
        <v>76</v>
      </c>
      <c r="H11" s="45"/>
      <c r="I11" s="45">
        <v>350</v>
      </c>
      <c r="J11" s="45">
        <f t="shared" si="0"/>
        <v>35</v>
      </c>
      <c r="K11" s="47"/>
      <c r="L11" s="45" t="str">
        <f>IF(AND(NOT(ISBLANK(K10)),NOT(ISBLANK(K11))),"DUPE",IF(ISBLANK(K11),IF(NOT(ISBLANK(K10)),"","UNK"),IF(K11&lt;=$I11,"PASS","FAIL")))</f>
        <v>UNK</v>
      </c>
      <c r="M11" s="49"/>
      <c r="N11" s="50"/>
      <c r="O11" s="48" t="s">
        <v>83</v>
      </c>
    </row>
    <row r="12" spans="1:15" ht="12.75">
      <c r="A12" s="44"/>
      <c r="B12" s="44" t="s">
        <v>470</v>
      </c>
      <c r="C12" s="44" t="s">
        <v>474</v>
      </c>
      <c r="D12" s="45" t="s">
        <v>79</v>
      </c>
      <c r="E12" s="46"/>
      <c r="F12" s="46"/>
      <c r="G12" s="46" t="s">
        <v>77</v>
      </c>
      <c r="H12" s="45">
        <v>-350</v>
      </c>
      <c r="I12" s="45">
        <v>350</v>
      </c>
      <c r="J12" s="45">
        <f t="shared" si="0"/>
        <v>70</v>
      </c>
      <c r="K12" s="49"/>
      <c r="L12" s="50"/>
      <c r="M12" s="48"/>
      <c r="N12" s="45" t="str">
        <f>IF(AND(NOT(ISBLANK(M12)),NOT(ISBLANK(M13))),"DUPE",IF(ISBLANK(M12),IF(NOT(ISBLANK(M13)),"","UNK"),IF(AND(M12&lt;=$I12,M12&gt;=$H12),"PASS","FAIL")))</f>
        <v>UNK</v>
      </c>
      <c r="O12" s="48" t="s">
        <v>81</v>
      </c>
    </row>
    <row r="13" spans="1:15" ht="12.75">
      <c r="A13" s="44"/>
      <c r="B13" s="44" t="s">
        <v>471</v>
      </c>
      <c r="C13" s="44" t="s">
        <v>475</v>
      </c>
      <c r="D13" s="45" t="s">
        <v>82</v>
      </c>
      <c r="E13" s="46"/>
      <c r="F13" s="46"/>
      <c r="G13" s="46" t="s">
        <v>77</v>
      </c>
      <c r="H13" s="45"/>
      <c r="I13" s="45">
        <v>350</v>
      </c>
      <c r="J13" s="45">
        <f t="shared" si="0"/>
        <v>35</v>
      </c>
      <c r="K13" s="49"/>
      <c r="L13" s="50"/>
      <c r="M13" s="48"/>
      <c r="N13" s="45" t="str">
        <f>IF(AND(NOT(ISBLANK(M12)),NOT(ISBLANK(M13))),"DUPE",IF(ISBLANK(M13),IF(NOT(ISBLANK(M12)),"","UNK"),IF(M13&lt;=$I13,"PASS","FAIL")))</f>
        <v>UNK</v>
      </c>
      <c r="O13" s="48" t="s">
        <v>83</v>
      </c>
    </row>
    <row r="14" spans="1:15" ht="12.75">
      <c r="A14" s="44" t="s">
        <v>84</v>
      </c>
      <c r="B14" s="44" t="s">
        <v>476</v>
      </c>
      <c r="C14" s="44" t="s">
        <v>478</v>
      </c>
      <c r="D14" s="45" t="s">
        <v>73</v>
      </c>
      <c r="E14" s="46" t="s">
        <v>85</v>
      </c>
      <c r="F14" s="46" t="s">
        <v>75</v>
      </c>
      <c r="G14" s="46" t="s">
        <v>76</v>
      </c>
      <c r="H14" s="45">
        <v>30</v>
      </c>
      <c r="I14" s="45">
        <v>33</v>
      </c>
      <c r="J14" s="45">
        <f t="shared" si="0"/>
        <v>0.30000000000000004</v>
      </c>
      <c r="K14" s="48"/>
      <c r="L14" s="45" t="str">
        <f>IF(ISBLANK(K14),IF(NOT(ISBLANK(K10)),"","UNK"),IF(AND(K14&lt;=$I14,K14&gt;=$H14),"PASS","FAIL"))</f>
        <v>UNK</v>
      </c>
      <c r="M14" s="49"/>
      <c r="N14" s="50"/>
      <c r="O14" s="51"/>
    </row>
    <row r="15" spans="1:15" ht="12.75">
      <c r="A15" s="44"/>
      <c r="B15" s="44" t="s">
        <v>477</v>
      </c>
      <c r="C15" s="44" t="s">
        <v>479</v>
      </c>
      <c r="D15" s="45"/>
      <c r="E15" s="46"/>
      <c r="F15" s="46"/>
      <c r="G15" s="46" t="s">
        <v>77</v>
      </c>
      <c r="H15" s="45">
        <v>30</v>
      </c>
      <c r="I15" s="45">
        <v>33</v>
      </c>
      <c r="J15" s="45">
        <f t="shared" si="0"/>
        <v>0.30000000000000004</v>
      </c>
      <c r="K15" s="49"/>
      <c r="L15" s="50"/>
      <c r="M15" s="48"/>
      <c r="N15" s="45" t="str">
        <f>IF(ISBLANK(M15),IF(NOT(ISBLANK(M12)),"","UNK"),IF(AND(M15&lt;=$I15,M15&gt;=$H15),"PASS","FAIL"))</f>
        <v>UNK</v>
      </c>
      <c r="O15" s="48"/>
    </row>
    <row r="16" spans="1:15" ht="12.75">
      <c r="A16" s="44" t="s">
        <v>86</v>
      </c>
      <c r="B16" s="44" t="s">
        <v>481</v>
      </c>
      <c r="C16" s="44" t="s">
        <v>483</v>
      </c>
      <c r="D16" s="45" t="s">
        <v>73</v>
      </c>
      <c r="E16" s="46" t="s">
        <v>80</v>
      </c>
      <c r="F16" s="46" t="s">
        <v>75</v>
      </c>
      <c r="G16" s="46" t="s">
        <v>76</v>
      </c>
      <c r="H16" s="45">
        <v>-5000</v>
      </c>
      <c r="I16" s="45">
        <v>0</v>
      </c>
      <c r="J16" s="45">
        <f>H16*10%</f>
        <v>-500</v>
      </c>
      <c r="K16" s="48"/>
      <c r="L16" s="45" t="str">
        <f>IF(ISBLANK(K16),IF(NOT(ISBLANK(K10)),"","UNK"),IF(AND(K16&lt;=$I16,K16&gt;=$H16),"PASS","FAIL"))</f>
        <v>UNK</v>
      </c>
      <c r="M16" s="49"/>
      <c r="N16" s="50"/>
      <c r="O16" s="51"/>
    </row>
    <row r="17" spans="1:15" ht="12.75">
      <c r="A17" s="44"/>
      <c r="B17" s="44" t="s">
        <v>482</v>
      </c>
      <c r="C17" s="44" t="s">
        <v>484</v>
      </c>
      <c r="D17" s="45"/>
      <c r="E17" s="46"/>
      <c r="F17" s="46"/>
      <c r="G17" s="46" t="s">
        <v>77</v>
      </c>
      <c r="H17" s="45">
        <v>-5000</v>
      </c>
      <c r="I17" s="45">
        <v>0</v>
      </c>
      <c r="J17" s="45">
        <f>H17*10%</f>
        <v>-500</v>
      </c>
      <c r="K17" s="49"/>
      <c r="L17" s="50"/>
      <c r="M17" s="48"/>
      <c r="N17" s="45" t="str">
        <f>IF(ISBLANK(M17),IF(NOT(ISBLANK(M12)),"","UNK"),IF(AND(M17&lt;=$I17,M17&gt;=$H17),"PASS","FAIL"))</f>
        <v>UNK</v>
      </c>
      <c r="O17" s="48"/>
    </row>
    <row r="18" spans="1:15" ht="12.75">
      <c r="A18" s="44" t="s">
        <v>87</v>
      </c>
      <c r="B18" s="44" t="s">
        <v>485</v>
      </c>
      <c r="C18" s="44" t="s">
        <v>486</v>
      </c>
      <c r="D18" s="52" t="s">
        <v>88</v>
      </c>
      <c r="E18" s="46" t="s">
        <v>89</v>
      </c>
      <c r="F18" s="46" t="s">
        <v>90</v>
      </c>
      <c r="G18" s="46" t="s">
        <v>76</v>
      </c>
      <c r="H18" s="45">
        <v>400</v>
      </c>
      <c r="I18" s="53">
        <v>600</v>
      </c>
      <c r="J18" s="45">
        <f aca="true" t="shared" si="1" ref="J18:J49">(I18-H18)*10%</f>
        <v>20</v>
      </c>
      <c r="K18" s="48"/>
      <c r="L18" s="45" t="str">
        <f>IF(AND(ISBLANK(K19),ISBLANK(K18)),"UNK",IF(ISBLANK(K18),"N/A",IF(K18&gt;=$H18,"PASS","FAIL")))</f>
        <v>UNK</v>
      </c>
      <c r="M18" s="48"/>
      <c r="N18" s="45" t="str">
        <f>IF(AND(ISBLANK(M19),ISBLANK(M18)),"UNK",IF(ISBLANK(M18),"N/A",IF(M18&gt;=$H18,"PASS","FAIL")))</f>
        <v>UNK</v>
      </c>
      <c r="O18" s="48" t="s">
        <v>352</v>
      </c>
    </row>
    <row r="19" spans="1:15" ht="12.75">
      <c r="A19" s="44"/>
      <c r="B19" s="44" t="s">
        <v>487</v>
      </c>
      <c r="C19" s="44" t="s">
        <v>488</v>
      </c>
      <c r="D19" s="52" t="s">
        <v>91</v>
      </c>
      <c r="E19" s="46" t="s">
        <v>89</v>
      </c>
      <c r="F19" s="46" t="s">
        <v>92</v>
      </c>
      <c r="G19" s="46" t="s">
        <v>76</v>
      </c>
      <c r="H19" s="45">
        <v>400</v>
      </c>
      <c r="I19" s="53">
        <v>600</v>
      </c>
      <c r="J19" s="45">
        <f t="shared" si="1"/>
        <v>20</v>
      </c>
      <c r="K19" s="48"/>
      <c r="L19" s="45" t="str">
        <f>IF(AND(ISBLANK(K18),ISBLANK(K19)),"UNK",IF(ISBLANK(K19),"N/A",IF(K19&gt;=$H19,"PASS","FAIL")))</f>
        <v>UNK</v>
      </c>
      <c r="M19" s="48"/>
      <c r="N19" s="45" t="str">
        <f>IF(AND(ISBLANK(M18),ISBLANK(M19)),"UNK",IF(ISBLANK(M19),"N/A",IF(M19&gt;=$H19,"PASS","FAIL")))</f>
        <v>UNK</v>
      </c>
      <c r="O19" s="48" t="s">
        <v>353</v>
      </c>
    </row>
    <row r="20" spans="1:15" ht="12.75">
      <c r="A20" s="44"/>
      <c r="B20" s="44" t="s">
        <v>489</v>
      </c>
      <c r="C20" s="44" t="s">
        <v>490</v>
      </c>
      <c r="D20" s="52"/>
      <c r="E20" s="54" t="s">
        <v>93</v>
      </c>
      <c r="F20" s="55" t="s">
        <v>94</v>
      </c>
      <c r="G20" s="55" t="s">
        <v>76</v>
      </c>
      <c r="H20" s="45">
        <v>0</v>
      </c>
      <c r="I20" s="53">
        <v>0.05</v>
      </c>
      <c r="J20" s="45">
        <f t="shared" si="1"/>
        <v>0.005000000000000001</v>
      </c>
      <c r="K20" s="56"/>
      <c r="L20" s="208"/>
      <c r="M20" s="56"/>
      <c r="N20" s="208"/>
      <c r="O20" s="51" t="s">
        <v>95</v>
      </c>
    </row>
    <row r="21" spans="1:15" ht="12.75">
      <c r="A21" s="44"/>
      <c r="B21" s="44" t="s">
        <v>491</v>
      </c>
      <c r="C21" s="44" t="s">
        <v>492</v>
      </c>
      <c r="D21" s="52"/>
      <c r="E21" s="54" t="s">
        <v>96</v>
      </c>
      <c r="F21" s="55"/>
      <c r="G21" s="55"/>
      <c r="H21" s="45">
        <v>0</v>
      </c>
      <c r="I21" s="53">
        <v>0.05</v>
      </c>
      <c r="J21" s="45">
        <f t="shared" si="1"/>
        <v>0.005000000000000001</v>
      </c>
      <c r="K21" s="56"/>
      <c r="L21" s="208"/>
      <c r="M21" s="56"/>
      <c r="N21" s="208"/>
      <c r="O21" s="51" t="s">
        <v>95</v>
      </c>
    </row>
    <row r="22" spans="1:15" ht="12.75">
      <c r="A22" s="44"/>
      <c r="B22" s="44" t="s">
        <v>493</v>
      </c>
      <c r="C22" s="44" t="s">
        <v>494</v>
      </c>
      <c r="D22" s="52"/>
      <c r="E22" s="54" t="s">
        <v>93</v>
      </c>
      <c r="F22" s="55" t="s">
        <v>97</v>
      </c>
      <c r="G22" s="55" t="s">
        <v>76</v>
      </c>
      <c r="H22" s="45">
        <v>0</v>
      </c>
      <c r="I22" s="53">
        <v>0.05</v>
      </c>
      <c r="J22" s="45">
        <f t="shared" si="1"/>
        <v>0.005000000000000001</v>
      </c>
      <c r="K22" s="56"/>
      <c r="L22" s="208"/>
      <c r="M22" s="56"/>
      <c r="N22" s="208"/>
      <c r="O22" s="51" t="s">
        <v>95</v>
      </c>
    </row>
    <row r="23" spans="1:15" ht="12.75">
      <c r="A23" s="44"/>
      <c r="B23" s="44" t="s">
        <v>495</v>
      </c>
      <c r="C23" s="44" t="s">
        <v>496</v>
      </c>
      <c r="D23" s="52"/>
      <c r="E23" s="54" t="s">
        <v>96</v>
      </c>
      <c r="F23" s="55"/>
      <c r="G23" s="55"/>
      <c r="H23" s="45">
        <v>0</v>
      </c>
      <c r="I23" s="53">
        <v>0.05</v>
      </c>
      <c r="J23" s="45">
        <f t="shared" si="1"/>
        <v>0.005000000000000001</v>
      </c>
      <c r="K23" s="56"/>
      <c r="L23" s="208"/>
      <c r="M23" s="56"/>
      <c r="N23" s="208"/>
      <c r="O23" s="51" t="s">
        <v>95</v>
      </c>
    </row>
    <row r="24" spans="1:15" ht="12.75">
      <c r="A24" s="44"/>
      <c r="B24" s="44" t="s">
        <v>497</v>
      </c>
      <c r="C24" s="44" t="s">
        <v>498</v>
      </c>
      <c r="D24" s="52" t="s">
        <v>88</v>
      </c>
      <c r="E24" s="46" t="s">
        <v>89</v>
      </c>
      <c r="F24" s="46" t="s">
        <v>90</v>
      </c>
      <c r="G24" s="46" t="s">
        <v>77</v>
      </c>
      <c r="H24" s="45">
        <v>400</v>
      </c>
      <c r="I24" s="53">
        <v>700</v>
      </c>
      <c r="J24" s="45">
        <f t="shared" si="1"/>
        <v>30</v>
      </c>
      <c r="K24" s="77"/>
      <c r="L24" s="50"/>
      <c r="M24" s="48"/>
      <c r="N24" s="45" t="str">
        <f>IF(AND(ISBLANK(M25),ISBLANK(M24)),"UNK",IF(ISBLANK(M24),"N/A",IF(M24&gt;=$H24,"PASS","FAIL")))</f>
        <v>UNK</v>
      </c>
      <c r="O24" s="48" t="s">
        <v>352</v>
      </c>
    </row>
    <row r="25" spans="1:15" ht="12.75">
      <c r="A25" s="44"/>
      <c r="B25" s="44" t="s">
        <v>499</v>
      </c>
      <c r="C25" s="44" t="s">
        <v>500</v>
      </c>
      <c r="D25" s="52" t="s">
        <v>91</v>
      </c>
      <c r="E25" s="46" t="s">
        <v>89</v>
      </c>
      <c r="F25" s="46" t="s">
        <v>92</v>
      </c>
      <c r="G25" s="46" t="s">
        <v>77</v>
      </c>
      <c r="H25" s="45">
        <v>400</v>
      </c>
      <c r="I25" s="53">
        <v>700</v>
      </c>
      <c r="J25" s="45">
        <f t="shared" si="1"/>
        <v>30</v>
      </c>
      <c r="K25" s="77"/>
      <c r="L25" s="50"/>
      <c r="M25" s="48"/>
      <c r="N25" s="45" t="str">
        <f>IF(AND(ISBLANK(M24),ISBLANK(M25)),"UNK",IF(ISBLANK(M25),"N/A",IF(M25&gt;=$H25,"PASS","FAIL")))</f>
        <v>UNK</v>
      </c>
      <c r="O25" s="48" t="s">
        <v>353</v>
      </c>
    </row>
    <row r="26" spans="1:15" ht="12.75">
      <c r="A26" s="44"/>
      <c r="B26" s="44" t="s">
        <v>501</v>
      </c>
      <c r="C26" s="44" t="s">
        <v>502</v>
      </c>
      <c r="D26" s="52"/>
      <c r="E26" s="54" t="s">
        <v>93</v>
      </c>
      <c r="F26" s="55" t="s">
        <v>94</v>
      </c>
      <c r="G26" s="55" t="s">
        <v>77</v>
      </c>
      <c r="H26" s="45">
        <v>0</v>
      </c>
      <c r="I26" s="53">
        <v>0.05</v>
      </c>
      <c r="J26" s="45">
        <f t="shared" si="1"/>
        <v>0.005000000000000001</v>
      </c>
      <c r="K26" s="77"/>
      <c r="L26" s="50"/>
      <c r="M26" s="56"/>
      <c r="N26" s="208"/>
      <c r="O26" s="51" t="s">
        <v>95</v>
      </c>
    </row>
    <row r="27" spans="1:15" ht="12.75">
      <c r="A27" s="44"/>
      <c r="B27" s="44" t="s">
        <v>503</v>
      </c>
      <c r="C27" s="44" t="s">
        <v>504</v>
      </c>
      <c r="D27" s="52"/>
      <c r="E27" s="54" t="s">
        <v>96</v>
      </c>
      <c r="F27" s="55"/>
      <c r="G27" s="55"/>
      <c r="H27" s="45">
        <v>0</v>
      </c>
      <c r="I27" s="53">
        <v>0.05</v>
      </c>
      <c r="J27" s="45">
        <f t="shared" si="1"/>
        <v>0.005000000000000001</v>
      </c>
      <c r="K27" s="77"/>
      <c r="L27" s="50"/>
      <c r="M27" s="56"/>
      <c r="N27" s="208"/>
      <c r="O27" s="51" t="s">
        <v>95</v>
      </c>
    </row>
    <row r="28" spans="1:15" ht="12.75">
      <c r="A28" s="44"/>
      <c r="B28" s="44" t="s">
        <v>505</v>
      </c>
      <c r="C28" s="44" t="s">
        <v>506</v>
      </c>
      <c r="D28" s="52"/>
      <c r="E28" s="54" t="s">
        <v>93</v>
      </c>
      <c r="F28" s="55" t="s">
        <v>97</v>
      </c>
      <c r="G28" s="55" t="s">
        <v>77</v>
      </c>
      <c r="H28" s="45">
        <v>0</v>
      </c>
      <c r="I28" s="53">
        <v>0.05</v>
      </c>
      <c r="J28" s="45">
        <f t="shared" si="1"/>
        <v>0.005000000000000001</v>
      </c>
      <c r="K28" s="77"/>
      <c r="L28" s="50"/>
      <c r="M28" s="56"/>
      <c r="N28" s="208"/>
      <c r="O28" s="51" t="s">
        <v>95</v>
      </c>
    </row>
    <row r="29" spans="1:15" ht="12.75">
      <c r="A29" s="44"/>
      <c r="B29" s="44" t="s">
        <v>507</v>
      </c>
      <c r="C29" s="44" t="s">
        <v>508</v>
      </c>
      <c r="D29" s="52"/>
      <c r="E29" s="54" t="s">
        <v>96</v>
      </c>
      <c r="F29" s="55"/>
      <c r="G29" s="55"/>
      <c r="H29" s="45">
        <v>0</v>
      </c>
      <c r="I29" s="53">
        <v>0.05</v>
      </c>
      <c r="J29" s="45">
        <f t="shared" si="1"/>
        <v>0.005000000000000001</v>
      </c>
      <c r="K29" s="77"/>
      <c r="L29" s="50"/>
      <c r="M29" s="56"/>
      <c r="N29" s="208"/>
      <c r="O29" s="51" t="s">
        <v>95</v>
      </c>
    </row>
    <row r="30" spans="1:15" ht="12.75">
      <c r="A30" s="44" t="s">
        <v>98</v>
      </c>
      <c r="B30" s="44" t="s">
        <v>509</v>
      </c>
      <c r="C30" s="44" t="s">
        <v>510</v>
      </c>
      <c r="D30" s="45" t="s">
        <v>99</v>
      </c>
      <c r="E30" s="46" t="s">
        <v>74</v>
      </c>
      <c r="F30" s="46" t="s">
        <v>75</v>
      </c>
      <c r="G30" s="46" t="s">
        <v>76</v>
      </c>
      <c r="H30" s="53">
        <v>100</v>
      </c>
      <c r="I30" s="45">
        <v>273</v>
      </c>
      <c r="J30" s="45">
        <f t="shared" si="1"/>
        <v>17.3</v>
      </c>
      <c r="K30" s="48"/>
      <c r="L30" s="45" t="str">
        <f>IF(ISBLANK(K30),"UNK",IF(K30&lt;=$I30,"PASS","FAIL"))</f>
        <v>UNK</v>
      </c>
      <c r="M30" s="48"/>
      <c r="N30" s="45" t="str">
        <f>IF(ISBLANK(M30),"UNK",IF(M30&lt;=$I30,"PASS","FAIL"))</f>
        <v>UNK</v>
      </c>
      <c r="O30" s="48"/>
    </row>
    <row r="31" spans="1:15" ht="12.75">
      <c r="A31" s="44"/>
      <c r="B31" s="44" t="s">
        <v>511</v>
      </c>
      <c r="C31" s="44" t="s">
        <v>512</v>
      </c>
      <c r="D31" s="45" t="s">
        <v>100</v>
      </c>
      <c r="E31" s="46" t="s">
        <v>74</v>
      </c>
      <c r="F31" s="46"/>
      <c r="G31" s="46"/>
      <c r="H31" s="53">
        <v>100</v>
      </c>
      <c r="I31" s="45">
        <v>273</v>
      </c>
      <c r="J31" s="45">
        <f t="shared" si="1"/>
        <v>17.3</v>
      </c>
      <c r="K31" s="48"/>
      <c r="L31" s="45" t="str">
        <f>IF(ISBLANK(K31),"UNK",IF(K31&lt;=$I31,"PASS","FAIL"))</f>
        <v>UNK</v>
      </c>
      <c r="M31" s="48"/>
      <c r="N31" s="45" t="str">
        <f>IF(ISBLANK(M31),"UNK",IF(M31&lt;=$I31,"PASS","FAIL"))</f>
        <v>UNK</v>
      </c>
      <c r="O31" s="48"/>
    </row>
    <row r="32" spans="1:15" ht="12.75">
      <c r="A32" s="44"/>
      <c r="B32" s="44" t="s">
        <v>513</v>
      </c>
      <c r="C32" s="44" t="s">
        <v>514</v>
      </c>
      <c r="D32" s="45" t="s">
        <v>99</v>
      </c>
      <c r="E32" s="46" t="s">
        <v>74</v>
      </c>
      <c r="F32" s="46" t="s">
        <v>75</v>
      </c>
      <c r="G32" s="46" t="s">
        <v>77</v>
      </c>
      <c r="H32" s="53">
        <v>67</v>
      </c>
      <c r="I32" s="45">
        <v>136</v>
      </c>
      <c r="J32" s="45">
        <f t="shared" si="1"/>
        <v>6.9</v>
      </c>
      <c r="K32" s="77"/>
      <c r="L32" s="50"/>
      <c r="M32" s="48"/>
      <c r="N32" s="45" t="str">
        <f>IF(ISBLANK(M32),"UNK",IF(M32&lt;=$I32,"PASS","FAIL"))</f>
        <v>UNK</v>
      </c>
      <c r="O32" s="48"/>
    </row>
    <row r="33" spans="1:15" ht="12.75">
      <c r="A33" s="44"/>
      <c r="B33" s="44" t="s">
        <v>515</v>
      </c>
      <c r="C33" s="44" t="s">
        <v>516</v>
      </c>
      <c r="D33" s="45" t="s">
        <v>100</v>
      </c>
      <c r="E33" s="46" t="s">
        <v>74</v>
      </c>
      <c r="F33" s="46"/>
      <c r="G33" s="46"/>
      <c r="H33" s="53">
        <v>67</v>
      </c>
      <c r="I33" s="45">
        <v>136</v>
      </c>
      <c r="J33" s="45">
        <f t="shared" si="1"/>
        <v>6.9</v>
      </c>
      <c r="K33" s="77"/>
      <c r="L33" s="50"/>
      <c r="M33" s="48"/>
      <c r="N33" s="45" t="str">
        <f>IF(ISBLANK(M33),"UNK",IF(M33&lt;=$I33,"PASS","FAIL"))</f>
        <v>UNK</v>
      </c>
      <c r="O33" s="48"/>
    </row>
    <row r="34" spans="1:15" ht="12.75">
      <c r="A34" s="44" t="s">
        <v>101</v>
      </c>
      <c r="B34" s="44" t="s">
        <v>517</v>
      </c>
      <c r="C34" s="44" t="s">
        <v>518</v>
      </c>
      <c r="D34" s="45" t="s">
        <v>102</v>
      </c>
      <c r="E34" s="46" t="s">
        <v>74</v>
      </c>
      <c r="F34" s="46" t="s">
        <v>75</v>
      </c>
      <c r="G34" s="46" t="s">
        <v>76</v>
      </c>
      <c r="H34" s="45">
        <v>0</v>
      </c>
      <c r="I34" s="45">
        <v>20</v>
      </c>
      <c r="J34" s="45">
        <f t="shared" si="1"/>
        <v>2</v>
      </c>
      <c r="K34" s="48"/>
      <c r="L34" s="45" t="str">
        <f>IF(ISBLANK(K34),"UNK",IF(K34&lt;=$I34,"PASS","FAIL"))</f>
        <v>UNK</v>
      </c>
      <c r="M34" s="49"/>
      <c r="N34" s="49"/>
      <c r="O34" s="51"/>
    </row>
    <row r="35" spans="1:15" ht="12.75">
      <c r="A35" s="44"/>
      <c r="B35" s="44" t="s">
        <v>519</v>
      </c>
      <c r="C35" s="44" t="s">
        <v>520</v>
      </c>
      <c r="D35" s="45"/>
      <c r="E35" s="46"/>
      <c r="F35" s="46"/>
      <c r="G35" s="46" t="s">
        <v>77</v>
      </c>
      <c r="H35" s="45">
        <v>0</v>
      </c>
      <c r="I35" s="45">
        <v>20</v>
      </c>
      <c r="J35" s="45">
        <f t="shared" si="1"/>
        <v>2</v>
      </c>
      <c r="K35" s="49"/>
      <c r="L35" s="49"/>
      <c r="M35" s="47"/>
      <c r="N35" s="45" t="str">
        <f>IF(ISBLANK(M35),"UNK",IF(M35&lt;=$I35,"PASS","FAIL"))</f>
        <v>UNK</v>
      </c>
      <c r="O35" s="48"/>
    </row>
    <row r="36" spans="1:15" ht="12.75">
      <c r="A36" s="44"/>
      <c r="B36" s="44" t="s">
        <v>521</v>
      </c>
      <c r="C36" s="44" t="s">
        <v>522</v>
      </c>
      <c r="D36" s="45"/>
      <c r="E36" s="46"/>
      <c r="F36" s="46" t="s">
        <v>94</v>
      </c>
      <c r="G36" s="46" t="s">
        <v>76</v>
      </c>
      <c r="H36" s="45">
        <v>0</v>
      </c>
      <c r="I36" s="45">
        <v>20</v>
      </c>
      <c r="J36" s="45">
        <f t="shared" si="1"/>
        <v>2</v>
      </c>
      <c r="K36" s="47"/>
      <c r="L36" s="45" t="str">
        <f>IF(ISBLANK(K36),"UNK",IF(K36&lt;=$I36,"PASS","FAIL"))</f>
        <v>UNK</v>
      </c>
      <c r="M36" s="49"/>
      <c r="N36" s="50"/>
      <c r="O36" s="51"/>
    </row>
    <row r="37" spans="1:15" ht="12.75">
      <c r="A37" s="44"/>
      <c r="B37" s="44" t="s">
        <v>523</v>
      </c>
      <c r="C37" s="44" t="s">
        <v>524</v>
      </c>
      <c r="D37" s="45"/>
      <c r="E37" s="46"/>
      <c r="F37" s="46"/>
      <c r="G37" s="46" t="s">
        <v>77</v>
      </c>
      <c r="H37" s="45">
        <v>0</v>
      </c>
      <c r="I37" s="45">
        <v>20</v>
      </c>
      <c r="J37" s="45">
        <f t="shared" si="1"/>
        <v>2</v>
      </c>
      <c r="K37" s="49"/>
      <c r="L37" s="50"/>
      <c r="M37" s="47"/>
      <c r="N37" s="45" t="str">
        <f aca="true" t="shared" si="2" ref="N37:N44">IF(ISBLANK(M37),"UNK",IF(M37&lt;=$I37,"PASS","FAIL"))</f>
        <v>UNK</v>
      </c>
      <c r="O37" s="48"/>
    </row>
    <row r="38" spans="1:15" ht="12.75">
      <c r="A38" s="44" t="s">
        <v>103</v>
      </c>
      <c r="B38" s="44" t="s">
        <v>525</v>
      </c>
      <c r="C38" s="44" t="s">
        <v>526</v>
      </c>
      <c r="D38" s="45" t="s">
        <v>102</v>
      </c>
      <c r="E38" s="46" t="s">
        <v>104</v>
      </c>
      <c r="F38" s="46" t="s">
        <v>94</v>
      </c>
      <c r="G38" s="46" t="s">
        <v>77</v>
      </c>
      <c r="H38" s="45">
        <v>0</v>
      </c>
      <c r="I38" s="45">
        <v>50</v>
      </c>
      <c r="J38" s="45">
        <f t="shared" si="1"/>
        <v>5</v>
      </c>
      <c r="K38" s="49"/>
      <c r="L38" s="50"/>
      <c r="M38" s="47"/>
      <c r="N38" s="45" t="str">
        <f t="shared" si="2"/>
        <v>UNK</v>
      </c>
      <c r="O38" s="51"/>
    </row>
    <row r="39" spans="1:15" ht="12.75">
      <c r="A39" s="44" t="s">
        <v>105</v>
      </c>
      <c r="B39" s="44" t="s">
        <v>527</v>
      </c>
      <c r="C39" s="44" t="s">
        <v>528</v>
      </c>
      <c r="D39" s="45" t="s">
        <v>106</v>
      </c>
      <c r="E39" s="57" t="s">
        <v>107</v>
      </c>
      <c r="F39" s="57" t="s">
        <v>75</v>
      </c>
      <c r="G39" s="46" t="s">
        <v>77</v>
      </c>
      <c r="H39" s="45">
        <v>0</v>
      </c>
      <c r="I39" s="58">
        <v>20</v>
      </c>
      <c r="J39" s="45">
        <f t="shared" si="1"/>
        <v>2</v>
      </c>
      <c r="K39" s="49"/>
      <c r="L39" s="50"/>
      <c r="M39" s="47"/>
      <c r="N39" s="45" t="str">
        <f t="shared" si="2"/>
        <v>UNK</v>
      </c>
      <c r="O39" s="51"/>
    </row>
    <row r="40" spans="1:15" ht="12.75">
      <c r="A40" s="44"/>
      <c r="B40" s="44" t="s">
        <v>529</v>
      </c>
      <c r="C40" s="44" t="s">
        <v>530</v>
      </c>
      <c r="D40" s="45" t="s">
        <v>108</v>
      </c>
      <c r="E40" s="57" t="s">
        <v>107</v>
      </c>
      <c r="F40" s="57" t="s">
        <v>75</v>
      </c>
      <c r="G40" s="46" t="s">
        <v>77</v>
      </c>
      <c r="H40" s="45">
        <v>0</v>
      </c>
      <c r="I40" s="58">
        <v>20</v>
      </c>
      <c r="J40" s="45">
        <f t="shared" si="1"/>
        <v>2</v>
      </c>
      <c r="K40" s="49"/>
      <c r="L40" s="50"/>
      <c r="M40" s="47"/>
      <c r="N40" s="45" t="str">
        <f t="shared" si="2"/>
        <v>UNK</v>
      </c>
      <c r="O40" s="48"/>
    </row>
    <row r="41" spans="1:15" ht="12.75">
      <c r="A41" s="44"/>
      <c r="B41" s="44" t="s">
        <v>531</v>
      </c>
      <c r="C41" s="44" t="s">
        <v>532</v>
      </c>
      <c r="D41" s="45" t="s">
        <v>106</v>
      </c>
      <c r="E41" s="57" t="s">
        <v>107</v>
      </c>
      <c r="F41" s="57" t="s">
        <v>94</v>
      </c>
      <c r="G41" s="46" t="s">
        <v>77</v>
      </c>
      <c r="H41" s="45">
        <v>0</v>
      </c>
      <c r="I41" s="58">
        <v>20</v>
      </c>
      <c r="J41" s="45">
        <f t="shared" si="1"/>
        <v>2</v>
      </c>
      <c r="K41" s="49"/>
      <c r="L41" s="50"/>
      <c r="M41" s="47"/>
      <c r="N41" s="45" t="str">
        <f t="shared" si="2"/>
        <v>UNK</v>
      </c>
      <c r="O41" s="48"/>
    </row>
    <row r="42" spans="1:15" ht="12.75">
      <c r="A42" s="44"/>
      <c r="B42" s="44" t="s">
        <v>533</v>
      </c>
      <c r="C42" s="44" t="s">
        <v>534</v>
      </c>
      <c r="D42" s="45" t="s">
        <v>108</v>
      </c>
      <c r="E42" s="57" t="s">
        <v>107</v>
      </c>
      <c r="F42" s="57" t="s">
        <v>94</v>
      </c>
      <c r="G42" s="46" t="s">
        <v>77</v>
      </c>
      <c r="H42" s="45">
        <v>0</v>
      </c>
      <c r="I42" s="58">
        <v>20</v>
      </c>
      <c r="J42" s="45">
        <f t="shared" si="1"/>
        <v>2</v>
      </c>
      <c r="K42" s="49"/>
      <c r="L42" s="50"/>
      <c r="M42" s="47"/>
      <c r="N42" s="45" t="str">
        <f t="shared" si="2"/>
        <v>UNK</v>
      </c>
      <c r="O42" s="48"/>
    </row>
    <row r="43" spans="1:15" ht="12.75">
      <c r="A43" s="44" t="s">
        <v>109</v>
      </c>
      <c r="B43" s="44" t="s">
        <v>535</v>
      </c>
      <c r="C43" s="44" t="s">
        <v>536</v>
      </c>
      <c r="D43" s="45" t="s">
        <v>102</v>
      </c>
      <c r="E43" s="46" t="s">
        <v>107</v>
      </c>
      <c r="F43" s="57" t="s">
        <v>75</v>
      </c>
      <c r="G43" s="46" t="s">
        <v>77</v>
      </c>
      <c r="H43" s="45">
        <v>0</v>
      </c>
      <c r="I43" s="58">
        <v>10</v>
      </c>
      <c r="J43" s="45">
        <f t="shared" si="1"/>
        <v>1</v>
      </c>
      <c r="K43" s="49"/>
      <c r="L43" s="50"/>
      <c r="M43" s="47"/>
      <c r="N43" s="45" t="str">
        <f t="shared" si="2"/>
        <v>UNK</v>
      </c>
      <c r="O43" s="51"/>
    </row>
    <row r="44" spans="1:15" ht="12.75">
      <c r="A44" s="44"/>
      <c r="B44" s="44" t="s">
        <v>537</v>
      </c>
      <c r="C44" s="44" t="s">
        <v>538</v>
      </c>
      <c r="D44" s="45"/>
      <c r="E44" s="46"/>
      <c r="F44" s="57" t="s">
        <v>94</v>
      </c>
      <c r="G44" s="46" t="s">
        <v>77</v>
      </c>
      <c r="H44" s="45">
        <v>0</v>
      </c>
      <c r="I44" s="58">
        <v>10</v>
      </c>
      <c r="J44" s="45">
        <f t="shared" si="1"/>
        <v>1</v>
      </c>
      <c r="K44" s="49"/>
      <c r="L44" s="50"/>
      <c r="M44" s="47"/>
      <c r="N44" s="45" t="str">
        <f t="shared" si="2"/>
        <v>UNK</v>
      </c>
      <c r="O44" s="48"/>
    </row>
    <row r="45" spans="1:15" ht="15.75">
      <c r="A45" s="59" t="s">
        <v>365</v>
      </c>
      <c r="B45" s="44" t="s">
        <v>539</v>
      </c>
      <c r="C45" s="44" t="s">
        <v>540</v>
      </c>
      <c r="D45" s="54" t="s">
        <v>102</v>
      </c>
      <c r="E45" s="55" t="s">
        <v>110</v>
      </c>
      <c r="F45" s="55" t="s">
        <v>75</v>
      </c>
      <c r="G45" s="55" t="s">
        <v>76</v>
      </c>
      <c r="H45" s="45">
        <v>0</v>
      </c>
      <c r="I45" s="53">
        <v>0.3</v>
      </c>
      <c r="J45" s="45">
        <f t="shared" si="1"/>
        <v>0.03</v>
      </c>
      <c r="K45" s="56"/>
      <c r="L45" s="208"/>
      <c r="M45" s="56"/>
      <c r="N45" s="208"/>
      <c r="O45" s="51" t="s">
        <v>95</v>
      </c>
    </row>
    <row r="46" spans="1:15" ht="12.75">
      <c r="A46" s="59"/>
      <c r="B46" s="44" t="s">
        <v>541</v>
      </c>
      <c r="C46" s="44" t="s">
        <v>542</v>
      </c>
      <c r="D46" s="54"/>
      <c r="E46" s="55"/>
      <c r="F46" s="55" t="s">
        <v>111</v>
      </c>
      <c r="G46" s="55" t="s">
        <v>76</v>
      </c>
      <c r="H46" s="45">
        <v>0</v>
      </c>
      <c r="I46" s="53">
        <v>0.3</v>
      </c>
      <c r="J46" s="45">
        <f t="shared" si="1"/>
        <v>0.03</v>
      </c>
      <c r="K46" s="56"/>
      <c r="L46" s="208"/>
      <c r="M46" s="56"/>
      <c r="N46" s="208"/>
      <c r="O46" s="51" t="s">
        <v>95</v>
      </c>
    </row>
    <row r="47" spans="1:15" ht="12.75">
      <c r="A47" s="59"/>
      <c r="B47" s="44" t="s">
        <v>543</v>
      </c>
      <c r="C47" s="44" t="s">
        <v>544</v>
      </c>
      <c r="D47" s="54"/>
      <c r="E47" s="55"/>
      <c r="F47" s="55" t="s">
        <v>112</v>
      </c>
      <c r="G47" s="55" t="s">
        <v>76</v>
      </c>
      <c r="H47" s="45">
        <v>0</v>
      </c>
      <c r="I47" s="53">
        <v>0.3</v>
      </c>
      <c r="J47" s="45">
        <f t="shared" si="1"/>
        <v>0.03</v>
      </c>
      <c r="K47" s="56"/>
      <c r="L47" s="208"/>
      <c r="M47" s="56"/>
      <c r="N47" s="208"/>
      <c r="O47" s="51" t="s">
        <v>95</v>
      </c>
    </row>
    <row r="48" spans="1:15" ht="15.75">
      <c r="A48" s="59" t="s">
        <v>364</v>
      </c>
      <c r="B48" s="44" t="s">
        <v>545</v>
      </c>
      <c r="C48" s="44" t="s">
        <v>546</v>
      </c>
      <c r="D48" s="54" t="s">
        <v>102</v>
      </c>
      <c r="E48" s="55" t="s">
        <v>110</v>
      </c>
      <c r="F48" s="55" t="s">
        <v>75</v>
      </c>
      <c r="G48" s="55" t="s">
        <v>76</v>
      </c>
      <c r="H48" s="45">
        <v>0</v>
      </c>
      <c r="I48" s="53">
        <v>0.17</v>
      </c>
      <c r="J48" s="45">
        <f t="shared" si="1"/>
        <v>0.017</v>
      </c>
      <c r="K48" s="56"/>
      <c r="L48" s="208"/>
      <c r="M48" s="56"/>
      <c r="N48" s="208"/>
      <c r="O48" s="51" t="s">
        <v>95</v>
      </c>
    </row>
    <row r="49" spans="1:15" ht="12.75">
      <c r="A49" s="59"/>
      <c r="B49" s="44" t="s">
        <v>547</v>
      </c>
      <c r="C49" s="44" t="s">
        <v>548</v>
      </c>
      <c r="D49" s="54"/>
      <c r="E49" s="55"/>
      <c r="F49" s="55" t="s">
        <v>111</v>
      </c>
      <c r="G49" s="55" t="s">
        <v>76</v>
      </c>
      <c r="H49" s="45">
        <v>0</v>
      </c>
      <c r="I49" s="53">
        <v>0.17</v>
      </c>
      <c r="J49" s="45">
        <f t="shared" si="1"/>
        <v>0.017</v>
      </c>
      <c r="K49" s="56"/>
      <c r="L49" s="208"/>
      <c r="M49" s="56"/>
      <c r="N49" s="208"/>
      <c r="O49" s="51" t="s">
        <v>95</v>
      </c>
    </row>
    <row r="50" spans="1:15" ht="12.75">
      <c r="A50" s="59"/>
      <c r="B50" s="44" t="s">
        <v>549</v>
      </c>
      <c r="C50" s="44" t="s">
        <v>550</v>
      </c>
      <c r="D50" s="54"/>
      <c r="E50" s="55"/>
      <c r="F50" s="55" t="s">
        <v>112</v>
      </c>
      <c r="G50" s="55" t="s">
        <v>76</v>
      </c>
      <c r="H50" s="45">
        <v>0</v>
      </c>
      <c r="I50" s="53">
        <v>0.17</v>
      </c>
      <c r="J50" s="45">
        <f aca="true" t="shared" si="3" ref="J50:J68">(I50-H50)*10%</f>
        <v>0.017</v>
      </c>
      <c r="K50" s="56"/>
      <c r="L50" s="208"/>
      <c r="M50" s="56"/>
      <c r="N50" s="208"/>
      <c r="O50" s="51" t="s">
        <v>95</v>
      </c>
    </row>
    <row r="51" spans="1:15" ht="15.75">
      <c r="A51" s="44" t="s">
        <v>362</v>
      </c>
      <c r="B51" s="44" t="s">
        <v>551</v>
      </c>
      <c r="C51" s="44" t="s">
        <v>552</v>
      </c>
      <c r="D51" s="45" t="s">
        <v>102</v>
      </c>
      <c r="E51" s="46" t="s">
        <v>110</v>
      </c>
      <c r="F51" s="46" t="s">
        <v>75</v>
      </c>
      <c r="G51" s="46" t="s">
        <v>76</v>
      </c>
      <c r="H51" s="45">
        <v>0</v>
      </c>
      <c r="I51" s="45">
        <v>0.37</v>
      </c>
      <c r="J51" s="45">
        <f t="shared" si="3"/>
        <v>0.037</v>
      </c>
      <c r="K51" s="47"/>
      <c r="L51" s="45" t="str">
        <f>IF(ISBLANK(K51),"UNK",IF(K51&lt;=$I51,"PASS","FAIL"))</f>
        <v>UNK</v>
      </c>
      <c r="M51" s="48"/>
      <c r="N51" s="45" t="str">
        <f>IF(ISBLANK(M51),"UNK",IF(M51&lt;=$I51,"PASS","FAIL"))</f>
        <v>UNK</v>
      </c>
      <c r="O51" s="48"/>
    </row>
    <row r="52" spans="1:15" ht="12.75">
      <c r="A52" s="44"/>
      <c r="B52" s="44" t="s">
        <v>553</v>
      </c>
      <c r="C52" s="44" t="s">
        <v>554</v>
      </c>
      <c r="D52" s="45"/>
      <c r="E52" s="46"/>
      <c r="F52" s="46" t="s">
        <v>111</v>
      </c>
      <c r="G52" s="46" t="s">
        <v>76</v>
      </c>
      <c r="H52" s="45">
        <v>0</v>
      </c>
      <c r="I52" s="45">
        <v>0.37</v>
      </c>
      <c r="J52" s="45">
        <f t="shared" si="3"/>
        <v>0.037</v>
      </c>
      <c r="K52" s="47"/>
      <c r="L52" s="45" t="str">
        <f>IF(ISBLANK(K52),"UNK",IF(K52&lt;=$I52,"PASS","FAIL"))</f>
        <v>UNK</v>
      </c>
      <c r="M52" s="48"/>
      <c r="N52" s="45" t="str">
        <f>IF(ISBLANK(M52),"UNK",IF(M52&lt;=$I52,"PASS","FAIL"))</f>
        <v>UNK</v>
      </c>
      <c r="O52" s="48"/>
    </row>
    <row r="53" spans="1:15" ht="12.75">
      <c r="A53" s="44"/>
      <c r="B53" s="44" t="s">
        <v>555</v>
      </c>
      <c r="C53" s="44" t="s">
        <v>556</v>
      </c>
      <c r="D53" s="45"/>
      <c r="E53" s="46"/>
      <c r="F53" s="55" t="s">
        <v>112</v>
      </c>
      <c r="G53" s="55" t="s">
        <v>76</v>
      </c>
      <c r="H53" s="45">
        <v>0</v>
      </c>
      <c r="I53" s="53">
        <v>0.37</v>
      </c>
      <c r="J53" s="45">
        <f t="shared" si="3"/>
        <v>0.037</v>
      </c>
      <c r="K53" s="56"/>
      <c r="L53" s="208"/>
      <c r="M53" s="56"/>
      <c r="N53" s="208"/>
      <c r="O53" s="51" t="s">
        <v>95</v>
      </c>
    </row>
    <row r="54" spans="1:15" ht="15.75">
      <c r="A54" s="44" t="s">
        <v>363</v>
      </c>
      <c r="B54" s="44" t="s">
        <v>557</v>
      </c>
      <c r="C54" s="44" t="s">
        <v>558</v>
      </c>
      <c r="D54" s="45" t="s">
        <v>102</v>
      </c>
      <c r="E54" s="46" t="s">
        <v>110</v>
      </c>
      <c r="F54" s="46" t="s">
        <v>75</v>
      </c>
      <c r="G54" s="46" t="s">
        <v>76</v>
      </c>
      <c r="H54" s="45">
        <v>0</v>
      </c>
      <c r="I54" s="45">
        <v>0.19</v>
      </c>
      <c r="J54" s="45">
        <f t="shared" si="3"/>
        <v>0.019000000000000003</v>
      </c>
      <c r="K54" s="48"/>
      <c r="L54" s="45" t="str">
        <f>IF(ISBLANK(K54),"UNK",IF(K54&lt;=$I54,"PASS","FAIL"))</f>
        <v>UNK</v>
      </c>
      <c r="M54" s="48"/>
      <c r="N54" s="45" t="str">
        <f>IF(ISBLANK(M54),"UNK",IF(M54&lt;=$I54,"PASS","FAIL"))</f>
        <v>UNK</v>
      </c>
      <c r="O54" s="48"/>
    </row>
    <row r="55" spans="1:15" ht="12.75">
      <c r="A55" s="44"/>
      <c r="B55" s="44" t="s">
        <v>559</v>
      </c>
      <c r="C55" s="44" t="s">
        <v>560</v>
      </c>
      <c r="D55" s="45"/>
      <c r="E55" s="46"/>
      <c r="F55" s="46" t="s">
        <v>111</v>
      </c>
      <c r="G55" s="46" t="s">
        <v>76</v>
      </c>
      <c r="H55" s="45">
        <v>0</v>
      </c>
      <c r="I55" s="45">
        <v>0.19</v>
      </c>
      <c r="J55" s="45">
        <f t="shared" si="3"/>
        <v>0.019000000000000003</v>
      </c>
      <c r="K55" s="48"/>
      <c r="L55" s="45" t="str">
        <f>IF(ISBLANK(K55),"UNK",IF(K55&lt;=$I55,"PASS","FAIL"))</f>
        <v>UNK</v>
      </c>
      <c r="M55" s="48"/>
      <c r="N55" s="45" t="str">
        <f>IF(ISBLANK(M55),"UNK",IF(M55&lt;=$I55,"PASS","FAIL"))</f>
        <v>UNK</v>
      </c>
      <c r="O55" s="48"/>
    </row>
    <row r="56" spans="1:15" ht="12.75">
      <c r="A56" s="44"/>
      <c r="B56" s="44" t="s">
        <v>561</v>
      </c>
      <c r="C56" s="44" t="s">
        <v>562</v>
      </c>
      <c r="D56" s="45"/>
      <c r="E56" s="46"/>
      <c r="F56" s="55" t="s">
        <v>112</v>
      </c>
      <c r="G56" s="55" t="s">
        <v>76</v>
      </c>
      <c r="H56" s="45">
        <v>0</v>
      </c>
      <c r="I56" s="53">
        <v>0.19</v>
      </c>
      <c r="J56" s="45">
        <f t="shared" si="3"/>
        <v>0.019000000000000003</v>
      </c>
      <c r="K56" s="56"/>
      <c r="L56" s="208"/>
      <c r="M56" s="56"/>
      <c r="N56" s="208"/>
      <c r="O56" s="51" t="s">
        <v>95</v>
      </c>
    </row>
    <row r="57" spans="1:15" ht="15.75">
      <c r="A57" s="44" t="s">
        <v>366</v>
      </c>
      <c r="B57" s="44" t="s">
        <v>563</v>
      </c>
      <c r="C57" s="44" t="s">
        <v>564</v>
      </c>
      <c r="D57" s="45" t="s">
        <v>102</v>
      </c>
      <c r="E57" s="46" t="s">
        <v>110</v>
      </c>
      <c r="F57" s="46" t="s">
        <v>75</v>
      </c>
      <c r="G57" s="46" t="s">
        <v>77</v>
      </c>
      <c r="H57" s="45">
        <v>0</v>
      </c>
      <c r="I57" s="45">
        <v>0.37</v>
      </c>
      <c r="J57" s="45">
        <f t="shared" si="3"/>
        <v>0.037</v>
      </c>
      <c r="K57" s="49"/>
      <c r="L57" s="50"/>
      <c r="M57" s="48"/>
      <c r="N57" s="45" t="str">
        <f>IF(ISBLANK(M57),"UNK",IF(M57&lt;=$I57,"PASS","FAIL"))</f>
        <v>UNK</v>
      </c>
      <c r="O57" s="48"/>
    </row>
    <row r="58" spans="1:15" ht="12.75">
      <c r="A58" s="44"/>
      <c r="B58" s="44" t="s">
        <v>565</v>
      </c>
      <c r="C58" s="44" t="s">
        <v>566</v>
      </c>
      <c r="D58" s="45"/>
      <c r="E58" s="46"/>
      <c r="F58" s="46" t="s">
        <v>111</v>
      </c>
      <c r="G58" s="46" t="s">
        <v>77</v>
      </c>
      <c r="H58" s="45">
        <v>0</v>
      </c>
      <c r="I58" s="45">
        <v>0.37</v>
      </c>
      <c r="J58" s="45">
        <f t="shared" si="3"/>
        <v>0.037</v>
      </c>
      <c r="K58" s="49"/>
      <c r="L58" s="50"/>
      <c r="M58" s="48"/>
      <c r="N58" s="45" t="str">
        <f>IF(ISBLANK(M58),"UNK",IF(M58&lt;=$I58,"PASS","FAIL"))</f>
        <v>UNK</v>
      </c>
      <c r="O58" s="48"/>
    </row>
    <row r="59" spans="1:15" ht="12.75">
      <c r="A59" s="44"/>
      <c r="B59" s="44" t="s">
        <v>567</v>
      </c>
      <c r="C59" s="44" t="s">
        <v>568</v>
      </c>
      <c r="D59" s="45"/>
      <c r="E59" s="46"/>
      <c r="F59" s="55" t="s">
        <v>112</v>
      </c>
      <c r="G59" s="55" t="s">
        <v>77</v>
      </c>
      <c r="H59" s="45">
        <v>0</v>
      </c>
      <c r="I59" s="53">
        <v>0.37</v>
      </c>
      <c r="J59" s="45">
        <f t="shared" si="3"/>
        <v>0.037</v>
      </c>
      <c r="K59" s="49"/>
      <c r="L59" s="50"/>
      <c r="M59" s="56"/>
      <c r="N59" s="208"/>
      <c r="O59" s="51" t="s">
        <v>95</v>
      </c>
    </row>
    <row r="60" spans="1:15" ht="15">
      <c r="A60" s="44" t="s">
        <v>367</v>
      </c>
      <c r="B60" s="44" t="s">
        <v>569</v>
      </c>
      <c r="C60" s="44" t="s">
        <v>570</v>
      </c>
      <c r="D60" s="45" t="s">
        <v>102</v>
      </c>
      <c r="E60" s="46" t="s">
        <v>110</v>
      </c>
      <c r="F60" s="46" t="s">
        <v>75</v>
      </c>
      <c r="G60" s="46" t="s">
        <v>77</v>
      </c>
      <c r="H60" s="45">
        <v>0</v>
      </c>
      <c r="I60" s="45">
        <v>0.19</v>
      </c>
      <c r="J60" s="45">
        <f t="shared" si="3"/>
        <v>0.019000000000000003</v>
      </c>
      <c r="K60" s="49"/>
      <c r="L60" s="50"/>
      <c r="M60" s="48"/>
      <c r="N60" s="45" t="str">
        <f>IF(ISBLANK(M60),"UNK",IF(M60&lt;=$I60,"PASS","FAIL"))</f>
        <v>UNK</v>
      </c>
      <c r="O60" s="48"/>
    </row>
    <row r="61" spans="1:15" ht="12.75">
      <c r="A61" s="44"/>
      <c r="B61" s="44" t="s">
        <v>571</v>
      </c>
      <c r="C61" s="44" t="s">
        <v>572</v>
      </c>
      <c r="D61" s="45"/>
      <c r="E61" s="46"/>
      <c r="F61" s="46" t="s">
        <v>111</v>
      </c>
      <c r="G61" s="46" t="s">
        <v>77</v>
      </c>
      <c r="H61" s="45">
        <v>0</v>
      </c>
      <c r="I61" s="45">
        <v>0.19</v>
      </c>
      <c r="J61" s="45">
        <f t="shared" si="3"/>
        <v>0.019000000000000003</v>
      </c>
      <c r="K61" s="49"/>
      <c r="L61" s="50"/>
      <c r="M61" s="48"/>
      <c r="N61" s="45" t="str">
        <f>IF(ISBLANK(M61),"UNK",IF(M61&lt;=$I61,"PASS","FAIL"))</f>
        <v>UNK</v>
      </c>
      <c r="O61" s="48"/>
    </row>
    <row r="62" spans="1:15" ht="12.75">
      <c r="A62" s="44"/>
      <c r="B62" s="44" t="s">
        <v>573</v>
      </c>
      <c r="C62" s="44" t="s">
        <v>574</v>
      </c>
      <c r="D62" s="45"/>
      <c r="E62" s="46"/>
      <c r="F62" s="55" t="s">
        <v>112</v>
      </c>
      <c r="G62" s="55" t="s">
        <v>77</v>
      </c>
      <c r="H62" s="45">
        <v>0</v>
      </c>
      <c r="I62" s="53">
        <v>0.19</v>
      </c>
      <c r="J62" s="45">
        <f t="shared" si="3"/>
        <v>0.019000000000000003</v>
      </c>
      <c r="K62" s="49"/>
      <c r="L62" s="50"/>
      <c r="M62" s="56"/>
      <c r="N62" s="56"/>
      <c r="O62" s="51" t="s">
        <v>95</v>
      </c>
    </row>
    <row r="63" spans="1:15" ht="12.75">
      <c r="A63" s="44" t="s">
        <v>113</v>
      </c>
      <c r="B63" s="44" t="s">
        <v>575</v>
      </c>
      <c r="C63" s="44" t="s">
        <v>576</v>
      </c>
      <c r="D63" s="45" t="s">
        <v>116</v>
      </c>
      <c r="E63" s="45" t="s">
        <v>114</v>
      </c>
      <c r="F63" s="52" t="s">
        <v>115</v>
      </c>
      <c r="G63" s="46" t="s">
        <v>76</v>
      </c>
      <c r="H63" s="45">
        <v>0</v>
      </c>
      <c r="I63" s="45">
        <v>0</v>
      </c>
      <c r="J63" s="45">
        <f t="shared" si="3"/>
        <v>0</v>
      </c>
      <c r="K63" s="47"/>
      <c r="L63" s="45" t="str">
        <f>IF(ISBLANK(K63),"UNK",IF(K63&lt;=$I63,"PASS","FAIL"))</f>
        <v>UNK</v>
      </c>
      <c r="M63" s="49"/>
      <c r="N63" s="50"/>
      <c r="O63" s="48"/>
    </row>
    <row r="64" spans="1:15" ht="12.75">
      <c r="A64" s="44"/>
      <c r="B64" s="44" t="s">
        <v>577</v>
      </c>
      <c r="C64" s="44" t="s">
        <v>578</v>
      </c>
      <c r="D64" s="45" t="s">
        <v>328</v>
      </c>
      <c r="E64" s="45" t="s">
        <v>114</v>
      </c>
      <c r="F64" s="52" t="s">
        <v>115</v>
      </c>
      <c r="G64" s="46" t="s">
        <v>76</v>
      </c>
      <c r="H64" s="45">
        <v>0</v>
      </c>
      <c r="I64" s="45">
        <v>0</v>
      </c>
      <c r="J64" s="45">
        <f t="shared" si="3"/>
        <v>0</v>
      </c>
      <c r="K64" s="47"/>
      <c r="L64" s="45" t="str">
        <f>IF(ISBLANK(K64),"UNK",IF(K64&lt;=$I64,"PASS","FAIL"))</f>
        <v>UNK</v>
      </c>
      <c r="M64" s="49"/>
      <c r="N64" s="50"/>
      <c r="O64" s="51"/>
    </row>
    <row r="65" spans="1:15" ht="12.75">
      <c r="A65" s="44"/>
      <c r="B65" s="44" t="s">
        <v>579</v>
      </c>
      <c r="C65" s="44" t="s">
        <v>580</v>
      </c>
      <c r="D65" s="45" t="s">
        <v>117</v>
      </c>
      <c r="E65" s="45" t="s">
        <v>114</v>
      </c>
      <c r="F65" s="52" t="s">
        <v>115</v>
      </c>
      <c r="G65" s="46" t="s">
        <v>76</v>
      </c>
      <c r="H65" s="45">
        <v>0</v>
      </c>
      <c r="I65" s="45">
        <v>0</v>
      </c>
      <c r="J65" s="45">
        <f t="shared" si="3"/>
        <v>0</v>
      </c>
      <c r="K65" s="47"/>
      <c r="L65" s="45" t="str">
        <f>IF(ISBLANK(K65),"UNK",IF(K65&lt;=$I65,"PASS","FAIL"))</f>
        <v>UNK</v>
      </c>
      <c r="M65" s="49"/>
      <c r="N65" s="50"/>
      <c r="O65" s="48"/>
    </row>
    <row r="66" spans="1:15" ht="12.75">
      <c r="A66" s="44" t="s">
        <v>118</v>
      </c>
      <c r="B66" s="44" t="s">
        <v>581</v>
      </c>
      <c r="C66" s="44" t="s">
        <v>582</v>
      </c>
      <c r="D66" s="45" t="s">
        <v>116</v>
      </c>
      <c r="E66" s="45" t="s">
        <v>114</v>
      </c>
      <c r="F66" s="52" t="s">
        <v>115</v>
      </c>
      <c r="G66" s="46" t="s">
        <v>77</v>
      </c>
      <c r="H66" s="45">
        <v>0</v>
      </c>
      <c r="I66" s="45">
        <v>0</v>
      </c>
      <c r="J66" s="45">
        <f t="shared" si="3"/>
        <v>0</v>
      </c>
      <c r="K66" s="49"/>
      <c r="L66" s="50"/>
      <c r="M66" s="47"/>
      <c r="N66" s="45" t="str">
        <f>IF(ISBLANK(M66),"UNK",IF(M66&lt;=$I66,"PASS","FAIL"))</f>
        <v>UNK</v>
      </c>
      <c r="O66" s="48"/>
    </row>
    <row r="67" spans="1:15" ht="12.75">
      <c r="A67" s="44"/>
      <c r="B67" s="44" t="s">
        <v>583</v>
      </c>
      <c r="C67" s="44" t="s">
        <v>584</v>
      </c>
      <c r="D67" s="45" t="s">
        <v>328</v>
      </c>
      <c r="E67" s="45" t="s">
        <v>114</v>
      </c>
      <c r="F67" s="52" t="s">
        <v>115</v>
      </c>
      <c r="G67" s="46" t="s">
        <v>77</v>
      </c>
      <c r="H67" s="45">
        <v>0</v>
      </c>
      <c r="I67" s="45">
        <v>0</v>
      </c>
      <c r="J67" s="45">
        <f t="shared" si="3"/>
        <v>0</v>
      </c>
      <c r="K67" s="49"/>
      <c r="L67" s="50"/>
      <c r="M67" s="47"/>
      <c r="N67" s="45" t="str">
        <f>IF(ISBLANK(M67),"UNK",IF(M67&lt;=$I67,"PASS","FAIL"))</f>
        <v>UNK</v>
      </c>
      <c r="O67" s="51"/>
    </row>
    <row r="68" spans="1:15" ht="12.75">
      <c r="A68" s="44"/>
      <c r="B68" s="44" t="s">
        <v>585</v>
      </c>
      <c r="C68" s="44" t="s">
        <v>586</v>
      </c>
      <c r="D68" s="45" t="s">
        <v>117</v>
      </c>
      <c r="E68" s="45" t="s">
        <v>114</v>
      </c>
      <c r="F68" s="52" t="s">
        <v>115</v>
      </c>
      <c r="G68" s="46" t="s">
        <v>77</v>
      </c>
      <c r="H68" s="45">
        <v>0</v>
      </c>
      <c r="I68" s="45">
        <v>0</v>
      </c>
      <c r="J68" s="45">
        <f t="shared" si="3"/>
        <v>0</v>
      </c>
      <c r="K68" s="49"/>
      <c r="L68" s="50"/>
      <c r="M68" s="47"/>
      <c r="N68" s="45" t="str">
        <f>IF(ISBLANK(M68),"UNK",IF(M68&lt;=$I68,"PASS","FAIL"))</f>
        <v>UNK</v>
      </c>
      <c r="O68" s="48"/>
    </row>
    <row r="69" spans="1:15" ht="12.75">
      <c r="A69" s="44" t="s">
        <v>119</v>
      </c>
      <c r="B69" s="44" t="s">
        <v>587</v>
      </c>
      <c r="C69" s="44" t="s">
        <v>588</v>
      </c>
      <c r="D69" s="45" t="s">
        <v>120</v>
      </c>
      <c r="E69" s="46" t="s">
        <v>121</v>
      </c>
      <c r="F69" s="46" t="s">
        <v>122</v>
      </c>
      <c r="G69" s="46" t="s">
        <v>76</v>
      </c>
      <c r="H69" s="45"/>
      <c r="I69" s="45"/>
      <c r="J69" s="45"/>
      <c r="K69" s="60"/>
      <c r="L69" s="45" t="str">
        <f>IF(ISBLANK(K69),"UNK",IF(K69="FAIL","FAIL",IF(K69="PASS","PASS","INVALID")))</f>
        <v>UNK</v>
      </c>
      <c r="M69" s="61"/>
      <c r="N69" s="50"/>
      <c r="O69" s="48"/>
    </row>
    <row r="70" spans="1:15" ht="12.75">
      <c r="A70" s="44"/>
      <c r="B70" s="44" t="s">
        <v>589</v>
      </c>
      <c r="C70" s="44" t="s">
        <v>590</v>
      </c>
      <c r="D70" s="45" t="s">
        <v>123</v>
      </c>
      <c r="E70" s="46" t="s">
        <v>121</v>
      </c>
      <c r="F70" s="46" t="s">
        <v>122</v>
      </c>
      <c r="G70" s="46" t="s">
        <v>76</v>
      </c>
      <c r="H70" s="45"/>
      <c r="I70" s="45"/>
      <c r="J70" s="45"/>
      <c r="K70" s="60"/>
      <c r="L70" s="45" t="str">
        <f>IF(ISBLANK(K70),"UNK",IF(K70="FAIL","FAIL",IF(K70="PASS","PASS","INVALID")))</f>
        <v>UNK</v>
      </c>
      <c r="M70" s="61"/>
      <c r="N70" s="50"/>
      <c r="O70" s="48"/>
    </row>
    <row r="71" spans="1:15" ht="12.75">
      <c r="A71" s="44"/>
      <c r="B71" s="44" t="s">
        <v>591</v>
      </c>
      <c r="C71" s="44" t="s">
        <v>592</v>
      </c>
      <c r="D71" s="45" t="s">
        <v>124</v>
      </c>
      <c r="E71" s="46" t="s">
        <v>121</v>
      </c>
      <c r="F71" s="46" t="s">
        <v>122</v>
      </c>
      <c r="G71" s="46" t="s">
        <v>77</v>
      </c>
      <c r="H71" s="45"/>
      <c r="I71" s="45"/>
      <c r="J71" s="45"/>
      <c r="K71" s="61"/>
      <c r="L71" s="50"/>
      <c r="M71" s="48"/>
      <c r="N71" s="45" t="str">
        <f>IF(ISBLANK(M71),"UNK",IF(M71="FAIL","FAIL",IF(M71="PASS","PASS","INVALID")))</f>
        <v>UNK</v>
      </c>
      <c r="O71" s="48"/>
    </row>
    <row r="72" spans="1:15" ht="12.75">
      <c r="A72" s="44"/>
      <c r="B72" s="44" t="s">
        <v>593</v>
      </c>
      <c r="C72" s="44" t="s">
        <v>594</v>
      </c>
      <c r="D72" s="45" t="s">
        <v>123</v>
      </c>
      <c r="E72" s="46" t="s">
        <v>121</v>
      </c>
      <c r="F72" s="46" t="s">
        <v>122</v>
      </c>
      <c r="G72" s="46" t="s">
        <v>77</v>
      </c>
      <c r="H72" s="45"/>
      <c r="I72" s="45"/>
      <c r="J72" s="45"/>
      <c r="K72" s="61"/>
      <c r="L72" s="50"/>
      <c r="M72" s="48"/>
      <c r="N72" s="45" t="str">
        <f>IF(ISBLANK(M72),"UNK",IF(M72="FAIL","FAIL",IF(M72="PASS","PASS","INVALID")))</f>
        <v>UNK</v>
      </c>
      <c r="O72" s="48"/>
    </row>
    <row r="73" spans="1:15" ht="12.75">
      <c r="A73" s="44" t="s">
        <v>125</v>
      </c>
      <c r="B73" s="44" t="s">
        <v>595</v>
      </c>
      <c r="C73" s="44" t="s">
        <v>596</v>
      </c>
      <c r="D73" s="45" t="s">
        <v>73</v>
      </c>
      <c r="E73" s="46" t="s">
        <v>74</v>
      </c>
      <c r="F73" s="46" t="s">
        <v>122</v>
      </c>
      <c r="G73" s="46" t="s">
        <v>126</v>
      </c>
      <c r="H73" s="45">
        <v>646.67</v>
      </c>
      <c r="I73" s="45">
        <v>686.67</v>
      </c>
      <c r="J73" s="45">
        <f>(I73-H73)*10%</f>
        <v>4</v>
      </c>
      <c r="K73" s="48"/>
      <c r="L73" s="45" t="str">
        <f>IF(ISBLANK(K73),"UNK",IF(AND(K73&lt;=$I73,K73&gt;=$H73),"PASS","FAIL"))</f>
        <v>UNK</v>
      </c>
      <c r="M73" s="48"/>
      <c r="N73" s="45" t="str">
        <f>IF(ISBLANK(M73),"UNK",IF(AND(M73&lt;=$I73,M73&gt;=$H73),"PASS","FAIL"))</f>
        <v>UNK</v>
      </c>
      <c r="O73" s="51"/>
    </row>
    <row r="74" spans="1:15" ht="26.25">
      <c r="A74" s="62" t="s">
        <v>127</v>
      </c>
      <c r="B74" s="44" t="s">
        <v>597</v>
      </c>
      <c r="C74" s="44" t="s">
        <v>598</v>
      </c>
      <c r="D74" s="45" t="s">
        <v>73</v>
      </c>
      <c r="E74" s="46" t="s">
        <v>128</v>
      </c>
      <c r="F74" s="46" t="s">
        <v>122</v>
      </c>
      <c r="G74" s="46" t="s">
        <v>126</v>
      </c>
      <c r="H74" s="45">
        <v>103.5</v>
      </c>
      <c r="I74" s="45">
        <v>109.9</v>
      </c>
      <c r="J74" s="45">
        <f>(I74-H74)*10%</f>
        <v>0.6400000000000006</v>
      </c>
      <c r="K74" s="48"/>
      <c r="L74" s="45" t="str">
        <f>IF(ISBLANK(K74),"UNK",IF(AND(K74&lt;=$I74,K74&gt;=$H74),"PASS","FAIL"))</f>
        <v>UNK</v>
      </c>
      <c r="M74" s="48"/>
      <c r="N74" s="45" t="str">
        <f>IF(ISBLANK(M74),"UNK",IF(AND(M74&lt;=$I74,M74&gt;=$H74),"PASS","FAIL"))</f>
        <v>UNK</v>
      </c>
      <c r="O74" s="51"/>
    </row>
    <row r="75" spans="1:15" ht="12.75">
      <c r="A75" s="44" t="s">
        <v>129</v>
      </c>
      <c r="B75" s="44" t="s">
        <v>599</v>
      </c>
      <c r="C75" s="44" t="s">
        <v>600</v>
      </c>
      <c r="D75" s="45" t="s">
        <v>73</v>
      </c>
      <c r="E75" s="46" t="s">
        <v>128</v>
      </c>
      <c r="F75" s="46" t="s">
        <v>122</v>
      </c>
      <c r="G75" s="46" t="s">
        <v>126</v>
      </c>
      <c r="H75" s="45">
        <v>310.4</v>
      </c>
      <c r="I75" s="45">
        <v>329.6</v>
      </c>
      <c r="J75" s="45">
        <f>(I75-H75)*10%</f>
        <v>1.9200000000000046</v>
      </c>
      <c r="K75" s="48"/>
      <c r="L75" s="45" t="str">
        <f>IF(ISBLANK(K75),"UNK",IF(AND(K75&lt;=$I75,K75&gt;=$H75),"PASS","FAIL"))</f>
        <v>UNK</v>
      </c>
      <c r="M75" s="48"/>
      <c r="N75" s="45" t="str">
        <f>IF(ISBLANK(M75),"UNK",IF(AND(M75&lt;=$I75,M75&gt;=$H75),"PASS","FAIL"))</f>
        <v>UNK</v>
      </c>
      <c r="O75" s="51"/>
    </row>
    <row r="76" spans="1:15" ht="12.75">
      <c r="A76" s="44" t="s">
        <v>130</v>
      </c>
      <c r="B76" s="44" t="s">
        <v>601</v>
      </c>
      <c r="C76" s="44" t="s">
        <v>602</v>
      </c>
      <c r="D76" s="45" t="s">
        <v>73</v>
      </c>
      <c r="E76" s="46" t="s">
        <v>128</v>
      </c>
      <c r="F76" s="46" t="s">
        <v>122</v>
      </c>
      <c r="G76" s="46" t="s">
        <v>126</v>
      </c>
      <c r="H76" s="45">
        <v>103.5</v>
      </c>
      <c r="I76" s="45">
        <v>109.9</v>
      </c>
      <c r="J76" s="45">
        <f>(I76-H76)*10%</f>
        <v>0.6400000000000006</v>
      </c>
      <c r="K76" s="48"/>
      <c r="L76" s="45" t="str">
        <f>IF(ISBLANK(K76),"UNK",IF(AND(K76&lt;=$I76,K76&gt;=$H76),"PASS","FAIL"))</f>
        <v>UNK</v>
      </c>
      <c r="M76" s="48"/>
      <c r="N76" s="45" t="str">
        <f>IF(ISBLANK(M76),"UNK",IF(AND(M76&lt;=$I76,M76&gt;=$H76),"PASS","FAIL"))</f>
        <v>UNK</v>
      </c>
      <c r="O76" s="51"/>
    </row>
    <row r="77" spans="1:15" ht="12.75">
      <c r="A77" s="44" t="s">
        <v>131</v>
      </c>
      <c r="B77" s="44" t="s">
        <v>603</v>
      </c>
      <c r="C77" s="44" t="s">
        <v>604</v>
      </c>
      <c r="D77" s="45" t="s">
        <v>132</v>
      </c>
      <c r="E77" s="46" t="s">
        <v>121</v>
      </c>
      <c r="F77" s="46" t="s">
        <v>122</v>
      </c>
      <c r="G77" s="46" t="s">
        <v>126</v>
      </c>
      <c r="H77" s="45"/>
      <c r="I77" s="45"/>
      <c r="J77" s="57" t="s">
        <v>133</v>
      </c>
      <c r="K77" s="60"/>
      <c r="L77" s="45" t="str">
        <f aca="true" t="shared" si="4" ref="L77:L84">IF(ISBLANK(K77),"UNK",IF(K77="FAIL","FAIL",IF(K77="PASS","PASS","INVALID")))</f>
        <v>UNK</v>
      </c>
      <c r="M77" s="60"/>
      <c r="N77" s="45" t="str">
        <f aca="true" t="shared" si="5" ref="N77:N84">IF(ISBLANK(M77),"UNK",IF(M77="FAIL","FAIL",IF(M77="PASS","PASS","INVALID")))</f>
        <v>UNK</v>
      </c>
      <c r="O77" s="51"/>
    </row>
    <row r="78" spans="1:15" ht="12.75">
      <c r="A78" s="44"/>
      <c r="B78" s="44" t="s">
        <v>605</v>
      </c>
      <c r="C78" s="44" t="s">
        <v>606</v>
      </c>
      <c r="D78" s="45" t="s">
        <v>134</v>
      </c>
      <c r="E78" s="46" t="s">
        <v>121</v>
      </c>
      <c r="F78" s="46" t="s">
        <v>122</v>
      </c>
      <c r="G78" s="46" t="s">
        <v>126</v>
      </c>
      <c r="H78" s="45"/>
      <c r="I78" s="45"/>
      <c r="J78" s="57" t="s">
        <v>135</v>
      </c>
      <c r="K78" s="60"/>
      <c r="L78" s="45" t="str">
        <f t="shared" si="4"/>
        <v>UNK</v>
      </c>
      <c r="M78" s="60"/>
      <c r="N78" s="45" t="str">
        <f t="shared" si="5"/>
        <v>UNK</v>
      </c>
      <c r="O78" s="51"/>
    </row>
    <row r="79" spans="1:15" ht="12.75">
      <c r="A79" s="44"/>
      <c r="B79" s="44" t="s">
        <v>607</v>
      </c>
      <c r="C79" s="44" t="s">
        <v>608</v>
      </c>
      <c r="D79" s="45" t="s">
        <v>136</v>
      </c>
      <c r="E79" s="46" t="s">
        <v>121</v>
      </c>
      <c r="F79" s="46" t="s">
        <v>122</v>
      </c>
      <c r="G79" s="46" t="s">
        <v>126</v>
      </c>
      <c r="H79" s="45"/>
      <c r="I79" s="45"/>
      <c r="J79" s="57" t="s">
        <v>137</v>
      </c>
      <c r="K79" s="60"/>
      <c r="L79" s="45" t="str">
        <f t="shared" si="4"/>
        <v>UNK</v>
      </c>
      <c r="M79" s="60"/>
      <c r="N79" s="45" t="str">
        <f t="shared" si="5"/>
        <v>UNK</v>
      </c>
      <c r="O79" s="51"/>
    </row>
    <row r="80" spans="1:15" ht="12.75">
      <c r="A80" s="44"/>
      <c r="B80" s="44" t="s">
        <v>609</v>
      </c>
      <c r="C80" s="44" t="s">
        <v>610</v>
      </c>
      <c r="D80" s="45" t="s">
        <v>138</v>
      </c>
      <c r="E80" s="46" t="s">
        <v>121</v>
      </c>
      <c r="F80" s="46" t="s">
        <v>122</v>
      </c>
      <c r="G80" s="46" t="s">
        <v>126</v>
      </c>
      <c r="H80" s="45"/>
      <c r="I80" s="45"/>
      <c r="J80" s="57" t="s">
        <v>139</v>
      </c>
      <c r="K80" s="60"/>
      <c r="L80" s="45" t="str">
        <f t="shared" si="4"/>
        <v>UNK</v>
      </c>
      <c r="M80" s="60"/>
      <c r="N80" s="45" t="str">
        <f t="shared" si="5"/>
        <v>UNK</v>
      </c>
      <c r="O80" s="51"/>
    </row>
    <row r="81" spans="1:15" ht="12.75">
      <c r="A81" s="44" t="s">
        <v>140</v>
      </c>
      <c r="B81" s="44" t="s">
        <v>611</v>
      </c>
      <c r="C81" s="44" t="s">
        <v>612</v>
      </c>
      <c r="D81" s="45" t="s">
        <v>141</v>
      </c>
      <c r="E81" s="46" t="s">
        <v>121</v>
      </c>
      <c r="F81" s="46" t="s">
        <v>122</v>
      </c>
      <c r="G81" s="46" t="s">
        <v>126</v>
      </c>
      <c r="H81" s="45"/>
      <c r="I81" s="45"/>
      <c r="J81" s="45"/>
      <c r="K81" s="60"/>
      <c r="L81" s="45" t="str">
        <f t="shared" si="4"/>
        <v>UNK</v>
      </c>
      <c r="M81" s="60"/>
      <c r="N81" s="45" t="str">
        <f t="shared" si="5"/>
        <v>UNK</v>
      </c>
      <c r="O81" s="51"/>
    </row>
    <row r="82" spans="1:15" ht="12.75">
      <c r="A82" s="44"/>
      <c r="B82" s="44" t="s">
        <v>613</v>
      </c>
      <c r="C82" s="44" t="s">
        <v>614</v>
      </c>
      <c r="D82" s="45" t="s">
        <v>142</v>
      </c>
      <c r="E82" s="46" t="s">
        <v>121</v>
      </c>
      <c r="F82" s="46" t="s">
        <v>122</v>
      </c>
      <c r="G82" s="46" t="s">
        <v>126</v>
      </c>
      <c r="H82" s="45"/>
      <c r="I82" s="45"/>
      <c r="J82" s="45"/>
      <c r="K82" s="60"/>
      <c r="L82" s="45" t="str">
        <f t="shared" si="4"/>
        <v>UNK</v>
      </c>
      <c r="M82" s="60"/>
      <c r="N82" s="45" t="str">
        <f t="shared" si="5"/>
        <v>UNK</v>
      </c>
      <c r="O82" s="51"/>
    </row>
    <row r="83" spans="1:15" ht="12.75">
      <c r="A83" s="63"/>
      <c r="B83" s="44" t="s">
        <v>615</v>
      </c>
      <c r="C83" s="44" t="s">
        <v>616</v>
      </c>
      <c r="D83" s="64" t="s">
        <v>143</v>
      </c>
      <c r="E83" s="46" t="s">
        <v>121</v>
      </c>
      <c r="F83" s="46" t="s">
        <v>122</v>
      </c>
      <c r="G83" s="46" t="s">
        <v>126</v>
      </c>
      <c r="H83" s="45"/>
      <c r="I83" s="45"/>
      <c r="J83" s="45"/>
      <c r="K83" s="60"/>
      <c r="L83" s="45" t="str">
        <f t="shared" si="4"/>
        <v>UNK</v>
      </c>
      <c r="M83" s="60"/>
      <c r="N83" s="45" t="str">
        <f t="shared" si="5"/>
        <v>UNK</v>
      </c>
      <c r="O83" s="51"/>
    </row>
    <row r="84" spans="1:15" ht="12.75">
      <c r="A84" s="63"/>
      <c r="B84" s="44" t="s">
        <v>617</v>
      </c>
      <c r="C84" s="44" t="s">
        <v>618</v>
      </c>
      <c r="D84" s="45" t="s">
        <v>144</v>
      </c>
      <c r="E84" s="46" t="s">
        <v>121</v>
      </c>
      <c r="F84" s="46" t="s">
        <v>122</v>
      </c>
      <c r="G84" s="46" t="s">
        <v>126</v>
      </c>
      <c r="H84" s="45"/>
      <c r="I84" s="45"/>
      <c r="J84" s="45"/>
      <c r="K84" s="60"/>
      <c r="L84" s="45" t="str">
        <f t="shared" si="4"/>
        <v>UNK</v>
      </c>
      <c r="M84" s="60"/>
      <c r="N84" s="45" t="str">
        <f t="shared" si="5"/>
        <v>UNK</v>
      </c>
      <c r="O84" s="51"/>
    </row>
  </sheetData>
  <sheetProtection/>
  <conditionalFormatting sqref="M59 M62 K73:K76 M73:M76">
    <cfRule type="cellIs" priority="1" dxfId="4" operator="notBetween" stopIfTrue="1">
      <formula>$H59</formula>
      <formula>$I59</formula>
    </cfRule>
    <cfRule type="cellIs" priority="2" dxfId="5" operator="notBetween" stopIfTrue="1">
      <formula>$H59*1.05</formula>
      <formula>$I59*0.95</formula>
    </cfRule>
  </conditionalFormatting>
  <conditionalFormatting sqref="M10:M11 K34 K36 K17 M16 M51:M58 K53:K56 K12:K13 M60:M61 N62">
    <cfRule type="cellIs" priority="3" dxfId="6" operator="equal" stopIfTrue="1">
      <formula>ISBLANK</formula>
    </cfRule>
    <cfRule type="cellIs" priority="4" dxfId="4" operator="notBetween" stopIfTrue="1">
      <formula>$H10</formula>
      <formula>$I10</formula>
    </cfRule>
    <cfRule type="cellIs" priority="5" dxfId="7" operator="notBetween" stopIfTrue="1">
      <formula>$H10*1.05</formula>
      <formula>$I10*0.95</formula>
    </cfRule>
  </conditionalFormatting>
  <conditionalFormatting sqref="M14:M15 K14:K15">
    <cfRule type="cellIs" priority="6" dxfId="6" operator="equal" stopIfTrue="1">
      <formula>ISBLANK</formula>
    </cfRule>
    <cfRule type="cellIs" priority="7" dxfId="4" operator="notBetween" stopIfTrue="1">
      <formula>$H14</formula>
      <formula>$I14</formula>
    </cfRule>
    <cfRule type="cellIs" priority="8" dxfId="7" operator="notBetween" stopIfTrue="1">
      <formula>$H14*1.02</formula>
      <formula>$I14*0.98</formula>
    </cfRule>
  </conditionalFormatting>
  <conditionalFormatting sqref="K20:K23 M20:M23 K26:K29 M26:M29">
    <cfRule type="cellIs" priority="9" dxfId="6" operator="equal" stopIfTrue="1">
      <formula>ISBLANK</formula>
    </cfRule>
    <cfRule type="cellIs" priority="10" dxfId="4" operator="greaterThan" stopIfTrue="1">
      <formula>$I20</formula>
    </cfRule>
    <cfRule type="cellIs" priority="11" dxfId="5" operator="greaterThan" stopIfTrue="1">
      <formula>$H20</formula>
    </cfRule>
  </conditionalFormatting>
  <conditionalFormatting sqref="M18:M19 K18:K19 K24:K25">
    <cfRule type="cellIs" priority="12" dxfId="6" operator="equal" stopIfTrue="1">
      <formula>ISBLANK</formula>
    </cfRule>
    <cfRule type="cellIs" priority="13" dxfId="4" operator="lessThan" stopIfTrue="1">
      <formula>$H18</formula>
    </cfRule>
    <cfRule type="cellIs" priority="14" dxfId="5" operator="notBetween" stopIfTrue="1">
      <formula>$H18+$J18</formula>
      <formula>$I18</formula>
    </cfRule>
  </conditionalFormatting>
  <conditionalFormatting sqref="K30:K33 M30:M33">
    <cfRule type="cellIs" priority="15" dxfId="6" operator="equal" stopIfTrue="1">
      <formula>ISBLANK</formula>
    </cfRule>
    <cfRule type="cellIs" priority="16" dxfId="4" operator="greaterThan" stopIfTrue="1">
      <formula>$I30</formula>
    </cfRule>
    <cfRule type="cellIs" priority="17" dxfId="5" operator="notBetween" stopIfTrue="1">
      <formula>$H30+$J30</formula>
      <formula>$I30-$J30</formula>
    </cfRule>
  </conditionalFormatting>
  <conditionalFormatting sqref="L35:M35 N34">
    <cfRule type="cellIs" priority="18" dxfId="6" operator="equal" stopIfTrue="1">
      <formula>ISBLANK</formula>
    </cfRule>
    <cfRule type="cellIs" priority="19" dxfId="4" operator="notBetween" stopIfTrue="1">
      <formula>$H34</formula>
      <formula>$I34</formula>
    </cfRule>
    <cfRule type="cellIs" priority="20" dxfId="7" operator="greaterThan" stopIfTrue="1">
      <formula>$H34+$J29</formula>
    </cfRule>
  </conditionalFormatting>
  <conditionalFormatting sqref="M34 K35 M36:M50 K37:K52">
    <cfRule type="cellIs" priority="21" dxfId="6" operator="equal" stopIfTrue="1">
      <formula>ISBLANK</formula>
    </cfRule>
    <cfRule type="cellIs" priority="22" dxfId="4" operator="notBetween" stopIfTrue="1">
      <formula>$H34</formula>
      <formula>$I34</formula>
    </cfRule>
    <cfRule type="cellIs" priority="23" dxfId="7" operator="greaterThan" stopIfTrue="1">
      <formula>$I34-$J34</formula>
    </cfRule>
  </conditionalFormatting>
  <conditionalFormatting sqref="K63:K68 M8:M9 K10 M12 K8 M63:M68">
    <cfRule type="cellIs" priority="24" dxfId="6" operator="equal" stopIfTrue="1">
      <formula>ISBLANK</formula>
    </cfRule>
    <cfRule type="cellIs" priority="25" dxfId="4" operator="notBetween" stopIfTrue="1">
      <formula>$H8</formula>
      <formula>$I8</formula>
    </cfRule>
    <cfRule type="cellIs" priority="26" dxfId="7" operator="notBetween" stopIfTrue="1">
      <formula>$H8+$J8</formula>
      <formula>$I8-$J8</formula>
    </cfRule>
  </conditionalFormatting>
  <conditionalFormatting sqref="K16 M17">
    <cfRule type="cellIs" priority="27" dxfId="6" operator="equal" stopIfTrue="1">
      <formula>ISBLANK</formula>
    </cfRule>
    <cfRule type="cellIs" priority="28" dxfId="4" operator="notBetween" stopIfTrue="1">
      <formula>$H16</formula>
      <formula>$I16</formula>
    </cfRule>
    <cfRule type="cellIs" priority="29" dxfId="7" operator="notBetween" stopIfTrue="1">
      <formula>$H16-$J16</formula>
      <formula>$I16+$J16</formula>
    </cfRule>
  </conditionalFormatting>
  <conditionalFormatting sqref="K11 M13">
    <cfRule type="cellIs" priority="30" dxfId="6" operator="equal" stopIfTrue="1">
      <formula>ISBLANK</formula>
    </cfRule>
    <cfRule type="cellIs" priority="31" dxfId="4" operator="greaterThan" stopIfTrue="1">
      <formula>$I11</formula>
    </cfRule>
    <cfRule type="cellIs" priority="32" dxfId="7" operator="greaterThan" stopIfTrue="1">
      <formula>$I11-$J11</formula>
    </cfRule>
  </conditionalFormatting>
  <conditionalFormatting sqref="M25">
    <cfRule type="cellIs" priority="33" dxfId="6" operator="equal" stopIfTrue="1">
      <formula>ISBLANK</formula>
    </cfRule>
    <cfRule type="cellIs" priority="34" dxfId="4" operator="lessThan" stopIfTrue="1">
      <formula>$H25</formula>
    </cfRule>
    <cfRule type="cellIs" priority="35" dxfId="7" operator="notBetween" stopIfTrue="1">
      <formula>$H25+$J25</formula>
      <formula>$I25</formula>
    </cfRule>
  </conditionalFormatting>
  <conditionalFormatting sqref="M24">
    <cfRule type="cellIs" priority="36" dxfId="6" operator="equal" stopIfTrue="1">
      <formula>ISBLANK</formula>
    </cfRule>
    <cfRule type="cellIs" priority="37" dxfId="4" operator="lessThan" stopIfTrue="1">
      <formula>$H24</formula>
    </cfRule>
    <cfRule type="cellIs" priority="38" dxfId="5" operator="notBetween" stopIfTrue="1">
      <formula>$H24+$J25</formula>
      <formula>$I24</formula>
    </cfRule>
  </conditionalFormatting>
  <conditionalFormatting sqref="L8 L69:L70 L14 L63:L65 L16 N17:N19 N8:N9 L18:L19 N30:N33 N15 N37:N44 L30:L31 L34 L36 N51:N52 L51:L52 L54:L55 N54:N55 N57:N58 N60:N61 L6 N71:N84 L73:L84 N35 N6 N24:N25 N66:N68">
    <cfRule type="cellIs" priority="39" dxfId="8" operator="equal" stopIfTrue="1">
      <formula>"PASS"</formula>
    </cfRule>
    <cfRule type="cellIs" priority="40" dxfId="0" operator="equal" stopIfTrue="1">
      <formula>"FAIL"</formula>
    </cfRule>
    <cfRule type="cellIs" priority="41" dxfId="9" operator="equal" stopIfTrue="1">
      <formula>"MARGINAL"</formula>
    </cfRule>
  </conditionalFormatting>
  <conditionalFormatting sqref="M69:M70 K77:K84 K69:K72 M77:M84">
    <cfRule type="cellIs" priority="42" dxfId="6" operator="equal" stopIfTrue="1">
      <formula>ISBLANK</formula>
    </cfRule>
    <cfRule type="cellIs" priority="43" dxfId="4" operator="notEqual" stopIfTrue="1">
      <formula>"PASS"</formula>
    </cfRule>
  </conditionalFormatting>
  <conditionalFormatting sqref="L10:L11 N12:N13">
    <cfRule type="cellIs" priority="44" dxfId="8" operator="equal" stopIfTrue="1">
      <formula>"PASS"</formula>
    </cfRule>
    <cfRule type="expression" priority="45" dxfId="0" stopIfTrue="1">
      <formula>OR(L10="FAIL",L10="DUPE")</formula>
    </cfRule>
    <cfRule type="cellIs" priority="46" dxfId="9" operator="equal" stopIfTrue="1">
      <formula>"MARGINAL"</formula>
    </cfRule>
  </conditionalFormatting>
  <conditionalFormatting sqref="K6 M6">
    <cfRule type="cellIs" priority="47" dxfId="3" operator="equal" stopIfTrue="1">
      <formula>"COMPLETE"</formula>
    </cfRule>
    <cfRule type="cellIs" priority="48" dxfId="2" operator="equal" stopIfTrue="1">
      <formula>"INCOMPLETE"</formula>
    </cfRule>
  </conditionalFormatting>
  <dataValidations count="3">
    <dataValidation type="list" allowBlank="1" showInputMessage="1" showErrorMessage="1" sqref="M71:M72 M77:M84">
      <formula1>pass_fail</formula1>
    </dataValidation>
    <dataValidation type="list" allowBlank="1" showInputMessage="1" showErrorMessage="1" promptTitle="BLANK, PASS or FAIL" prompt="Please leave cell blank or enter PASS or FAIL" errorTitle="Leave blank or use PASS or FAIL" error="Please leave blank or enter PASS or FAIL" sqref="K77:K84 K69:K72 M69:M70">
      <formula1>pass_fail</formula1>
    </dataValidation>
    <dataValidation type="whole" allowBlank="1" showInputMessage="1" showErrorMessage="1" promptTitle="Test ID" prompt="Enter valid test ID (minimum of 7, maximum of 9 decimal digits)" errorTitle="Enter Valid Test ID" error="Enter valid test ID (minimum of 7, maximum of 9 decimal digits)" sqref="D4">
      <formula1>1000000</formula1>
      <formula2>199999999</formula2>
    </dataValidation>
  </dataValidations>
  <printOptions/>
  <pageMargins left="0.5" right="0.5" top="0.5" bottom="0.75" header="0.5" footer="0.5"/>
  <pageSetup fitToHeight="2" horizontalDpi="300" verticalDpi="300" orientation="landscape" scale="55" r:id="rId3"/>
  <headerFooter alignWithMargins="0">
    <oddFooter>&amp;L&amp;F / &amp;A&amp;CPage &amp;P of &amp;N&amp;R&amp;D &amp;T</oddFooter>
  </headerFooter>
  <rowBreaks count="1" manualBreakCount="1">
    <brk id="6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32.421875" style="82" customWidth="1"/>
    <col min="2" max="2" width="22.421875" style="32" bestFit="1" customWidth="1"/>
    <col min="3" max="3" width="6.57421875" style="32" bestFit="1" customWidth="1"/>
    <col min="4" max="4" width="8.8515625" style="32" bestFit="1" customWidth="1"/>
    <col min="5" max="5" width="13.7109375" style="32" customWidth="1"/>
    <col min="6" max="6" width="14.57421875" style="32" customWidth="1"/>
    <col min="7" max="7" width="14.421875" style="32" customWidth="1"/>
    <col min="8" max="8" width="9.8515625" style="15" hidden="1" customWidth="1"/>
    <col min="9" max="9" width="11.57421875" style="32" customWidth="1"/>
    <col min="10" max="10" width="14.28125" style="32" customWidth="1"/>
    <col min="11" max="11" width="11.28125" style="32" customWidth="1"/>
    <col min="12" max="12" width="14.00390625" style="32" customWidth="1"/>
    <col min="13" max="13" width="50.00390625" style="32" customWidth="1"/>
    <col min="14" max="16384" width="8.8515625" style="32" customWidth="1"/>
  </cols>
  <sheetData>
    <row r="1" spans="1:4" ht="17.25">
      <c r="A1" s="65" t="s">
        <v>404</v>
      </c>
      <c r="B1" s="66"/>
      <c r="C1" s="29"/>
      <c r="D1" s="67" t="s">
        <v>145</v>
      </c>
    </row>
    <row r="2" spans="1:4" ht="17.25">
      <c r="A2" s="68"/>
      <c r="D2" s="67" t="s">
        <v>146</v>
      </c>
    </row>
    <row r="3" spans="1:4" ht="18" thickBot="1">
      <c r="A3" s="67" t="s">
        <v>342</v>
      </c>
      <c r="B3" s="196"/>
      <c r="D3" s="67" t="s">
        <v>55</v>
      </c>
    </row>
    <row r="4" spans="1:4" ht="18" thickBot="1">
      <c r="A4" s="67" t="s">
        <v>56</v>
      </c>
      <c r="B4" s="197"/>
      <c r="D4" s="67" t="s">
        <v>57</v>
      </c>
    </row>
    <row r="5" ht="18" thickBot="1">
      <c r="A5" s="67"/>
    </row>
    <row r="6" spans="1:13" s="15" customFormat="1" ht="13.5" thickBot="1">
      <c r="A6" s="69"/>
      <c r="I6" s="34" t="str">
        <f>IF(COUNTIF(J8:J63,"UNK")&gt;0,"INCOMPLETE","COMPLETE")</f>
        <v>INCOMPLETE</v>
      </c>
      <c r="J6" s="70" t="str">
        <f>IF(COUNTIF(J8:J63,"FAIL")&gt;0,"FAIL",IF(COUNTIF(J8:J63,"PASS")&gt;0,"PASS","UNK"))</f>
        <v>UNK</v>
      </c>
      <c r="K6" s="34" t="str">
        <f>IF(COUNTIF(L8:L63,"UNK")&gt;0,"INCOMPLETE","COMPLETE")</f>
        <v>INCOMPLETE</v>
      </c>
      <c r="L6" s="70" t="str">
        <f>IF(COUNTIF(L8:L63,"FAIL")&gt;0,"FAIL",IF(COUNTIF(L8:L63,"PASS")&gt;0,"PASS","UNK"))</f>
        <v>UNK</v>
      </c>
      <c r="M6" s="15" t="s">
        <v>147</v>
      </c>
    </row>
    <row r="7" spans="1:13" s="69" customFormat="1" ht="26.25">
      <c r="A7" s="71" t="s">
        <v>59</v>
      </c>
      <c r="B7" s="72" t="s">
        <v>60</v>
      </c>
      <c r="C7" s="73" t="s">
        <v>61</v>
      </c>
      <c r="D7" s="73" t="s">
        <v>62</v>
      </c>
      <c r="E7" s="37" t="s">
        <v>63</v>
      </c>
      <c r="F7" s="38" t="s">
        <v>64</v>
      </c>
      <c r="G7" s="38" t="s">
        <v>65</v>
      </c>
      <c r="H7" s="74" t="s">
        <v>148</v>
      </c>
      <c r="I7" s="37" t="s">
        <v>149</v>
      </c>
      <c r="J7" s="41" t="s">
        <v>68</v>
      </c>
      <c r="K7" s="37" t="s">
        <v>150</v>
      </c>
      <c r="L7" s="41" t="s">
        <v>70</v>
      </c>
      <c r="M7" s="71" t="s">
        <v>71</v>
      </c>
    </row>
    <row r="8" spans="1:13" ht="12.75">
      <c r="A8" s="75" t="s">
        <v>151</v>
      </c>
      <c r="B8" s="45" t="s">
        <v>152</v>
      </c>
      <c r="C8" s="46" t="s">
        <v>153</v>
      </c>
      <c r="D8" s="76" t="s">
        <v>94</v>
      </c>
      <c r="E8" s="46" t="s">
        <v>76</v>
      </c>
      <c r="F8" s="46">
        <v>85</v>
      </c>
      <c r="G8" s="46">
        <v>115</v>
      </c>
      <c r="H8" s="46">
        <f>(G8-F8)*0.1</f>
        <v>3</v>
      </c>
      <c r="I8" s="47"/>
      <c r="J8" s="45" t="str">
        <f>IF(COUNTIF(J30:J35,"PASS")&gt;5,"N/A",IF(ISBLANK(I8),"UNK",IF(AND(I8&lt;=$G8,I8&gt;=$F8),"PASS","FAIL")))</f>
        <v>UNK</v>
      </c>
      <c r="K8" s="77"/>
      <c r="L8" s="49"/>
      <c r="M8" s="48" t="s">
        <v>154</v>
      </c>
    </row>
    <row r="9" spans="1:13" ht="12.75">
      <c r="A9" s="75"/>
      <c r="B9" s="45" t="s">
        <v>102</v>
      </c>
      <c r="C9" s="46" t="s">
        <v>153</v>
      </c>
      <c r="D9" s="76" t="s">
        <v>94</v>
      </c>
      <c r="E9" s="46" t="s">
        <v>76</v>
      </c>
      <c r="F9" s="46">
        <v>85</v>
      </c>
      <c r="G9" s="46">
        <v>115</v>
      </c>
      <c r="H9" s="46">
        <f>(G9-F9)*0.1</f>
        <v>3</v>
      </c>
      <c r="I9" s="47"/>
      <c r="J9" s="45" t="str">
        <f>IF(COUNTIF(J30:J35,"PASS")&gt;5,"N/A",IF(ISBLANK(I9),"UNK",IF(AND(I9&lt;=$G9,I9&gt;=$F9),"PASS","FAIL")))</f>
        <v>UNK</v>
      </c>
      <c r="K9" s="77"/>
      <c r="L9" s="49"/>
      <c r="M9" s="48" t="s">
        <v>154</v>
      </c>
    </row>
    <row r="10" spans="1:13" ht="12.75">
      <c r="A10" s="78" t="s">
        <v>155</v>
      </c>
      <c r="B10" s="54" t="s">
        <v>156</v>
      </c>
      <c r="C10" s="55" t="s">
        <v>153</v>
      </c>
      <c r="D10" s="79" t="s">
        <v>94</v>
      </c>
      <c r="E10" s="55" t="s">
        <v>76</v>
      </c>
      <c r="F10" s="46">
        <v>40</v>
      </c>
      <c r="G10" s="46" t="s">
        <v>157</v>
      </c>
      <c r="H10" s="46">
        <f>F10*0.1</f>
        <v>4</v>
      </c>
      <c r="I10" s="56"/>
      <c r="J10" s="209"/>
      <c r="K10" s="77"/>
      <c r="L10" s="49"/>
      <c r="M10" s="51" t="s">
        <v>95</v>
      </c>
    </row>
    <row r="11" spans="1:13" ht="12.75">
      <c r="A11" s="78"/>
      <c r="B11" s="54" t="s">
        <v>158</v>
      </c>
      <c r="C11" s="55" t="s">
        <v>153</v>
      </c>
      <c r="D11" s="79" t="s">
        <v>94</v>
      </c>
      <c r="E11" s="55" t="s">
        <v>76</v>
      </c>
      <c r="F11" s="46">
        <v>40</v>
      </c>
      <c r="G11" s="46" t="s">
        <v>157</v>
      </c>
      <c r="H11" s="46">
        <f>F11*0.1</f>
        <v>4</v>
      </c>
      <c r="I11" s="56"/>
      <c r="J11" s="209"/>
      <c r="K11" s="77"/>
      <c r="L11" s="49"/>
      <c r="M11" s="51" t="s">
        <v>95</v>
      </c>
    </row>
    <row r="12" spans="1:13" ht="26.25">
      <c r="A12" s="75" t="s">
        <v>159</v>
      </c>
      <c r="B12" s="80" t="s">
        <v>160</v>
      </c>
      <c r="C12" s="46" t="s">
        <v>161</v>
      </c>
      <c r="D12" s="76" t="s">
        <v>94</v>
      </c>
      <c r="E12" s="46" t="s">
        <v>77</v>
      </c>
      <c r="F12" s="57"/>
      <c r="G12" s="46">
        <v>-14</v>
      </c>
      <c r="H12" s="46">
        <v>2</v>
      </c>
      <c r="I12" s="77"/>
      <c r="J12" s="49"/>
      <c r="K12" s="47"/>
      <c r="L12" s="45" t="str">
        <f>IF(ISBLANK(K12),"UNK",IF(K12&lt;=$G12,"PASS","FAIL"))</f>
        <v>UNK</v>
      </c>
      <c r="M12" s="48"/>
    </row>
    <row r="13" spans="1:13" ht="26.25">
      <c r="A13" s="75"/>
      <c r="B13" s="80" t="s">
        <v>162</v>
      </c>
      <c r="C13" s="46" t="s">
        <v>161</v>
      </c>
      <c r="D13" s="76" t="s">
        <v>94</v>
      </c>
      <c r="E13" s="46" t="s">
        <v>77</v>
      </c>
      <c r="F13" s="81"/>
      <c r="G13" s="46">
        <v>-8</v>
      </c>
      <c r="H13" s="46">
        <v>2</v>
      </c>
      <c r="I13" s="77"/>
      <c r="J13" s="49"/>
      <c r="K13" s="47"/>
      <c r="L13" s="45" t="str">
        <f aca="true" t="shared" si="0" ref="L13:L29">IF(ISBLANK(K13),"UNK",IF(K13&lt;=$G13,"PASS","FAIL"))</f>
        <v>UNK</v>
      </c>
      <c r="M13" s="48"/>
    </row>
    <row r="14" spans="1:13" ht="26.25">
      <c r="A14" s="75"/>
      <c r="B14" s="80" t="s">
        <v>163</v>
      </c>
      <c r="C14" s="46" t="s">
        <v>161</v>
      </c>
      <c r="D14" s="76" t="s">
        <v>94</v>
      </c>
      <c r="E14" s="46" t="s">
        <v>77</v>
      </c>
      <c r="F14" s="57"/>
      <c r="G14" s="46">
        <v>-6</v>
      </c>
      <c r="H14" s="46">
        <v>2</v>
      </c>
      <c r="I14" s="77"/>
      <c r="J14" s="49"/>
      <c r="K14" s="47"/>
      <c r="L14" s="45" t="str">
        <f t="shared" si="0"/>
        <v>UNK</v>
      </c>
      <c r="M14" s="48"/>
    </row>
    <row r="15" spans="1:13" ht="26.25">
      <c r="A15" s="75"/>
      <c r="B15" s="80" t="s">
        <v>164</v>
      </c>
      <c r="C15" s="46" t="s">
        <v>161</v>
      </c>
      <c r="D15" s="76" t="s">
        <v>94</v>
      </c>
      <c r="E15" s="46" t="s">
        <v>77</v>
      </c>
      <c r="F15" s="57"/>
      <c r="G15" s="46">
        <v>-6</v>
      </c>
      <c r="H15" s="46">
        <v>2</v>
      </c>
      <c r="I15" s="77"/>
      <c r="J15" s="49"/>
      <c r="K15" s="47"/>
      <c r="L15" s="45" t="str">
        <f t="shared" si="0"/>
        <v>UNK</v>
      </c>
      <c r="M15" s="48"/>
    </row>
    <row r="16" spans="1:13" ht="26.25">
      <c r="A16" s="75"/>
      <c r="B16" s="80" t="s">
        <v>165</v>
      </c>
      <c r="C16" s="46" t="s">
        <v>161</v>
      </c>
      <c r="D16" s="76" t="s">
        <v>94</v>
      </c>
      <c r="E16" s="46" t="s">
        <v>77</v>
      </c>
      <c r="F16" s="57"/>
      <c r="G16" s="46">
        <v>-3</v>
      </c>
      <c r="H16" s="46">
        <v>2</v>
      </c>
      <c r="I16" s="77"/>
      <c r="J16" s="49"/>
      <c r="K16" s="47"/>
      <c r="L16" s="45" t="str">
        <f t="shared" si="0"/>
        <v>UNK</v>
      </c>
      <c r="M16" s="48"/>
    </row>
    <row r="17" spans="1:13" ht="26.25">
      <c r="A17" s="75"/>
      <c r="B17" s="80" t="s">
        <v>166</v>
      </c>
      <c r="C17" s="46" t="s">
        <v>161</v>
      </c>
      <c r="D17" s="76" t="s">
        <v>94</v>
      </c>
      <c r="E17" s="46" t="s">
        <v>77</v>
      </c>
      <c r="F17" s="57"/>
      <c r="G17" s="46">
        <v>-1</v>
      </c>
      <c r="H17" s="46">
        <v>2</v>
      </c>
      <c r="I17" s="77"/>
      <c r="J17" s="49"/>
      <c r="K17" s="47"/>
      <c r="L17" s="45" t="str">
        <f t="shared" si="0"/>
        <v>UNK</v>
      </c>
      <c r="M17" s="48"/>
    </row>
    <row r="18" spans="1:13" ht="26.25">
      <c r="A18" s="75" t="s">
        <v>167</v>
      </c>
      <c r="B18" s="80" t="s">
        <v>160</v>
      </c>
      <c r="C18" s="46" t="s">
        <v>161</v>
      </c>
      <c r="D18" s="76" t="s">
        <v>94</v>
      </c>
      <c r="E18" s="46" t="s">
        <v>77</v>
      </c>
      <c r="F18" s="57"/>
      <c r="G18" s="46">
        <v>-8</v>
      </c>
      <c r="H18" s="46">
        <v>2</v>
      </c>
      <c r="I18" s="77"/>
      <c r="J18" s="49"/>
      <c r="K18" s="47"/>
      <c r="L18" s="45" t="str">
        <f t="shared" si="0"/>
        <v>UNK</v>
      </c>
      <c r="M18" s="48"/>
    </row>
    <row r="19" spans="1:13" ht="26.25">
      <c r="A19" s="75"/>
      <c r="B19" s="80" t="s">
        <v>162</v>
      </c>
      <c r="C19" s="46" t="s">
        <v>161</v>
      </c>
      <c r="D19" s="76" t="s">
        <v>94</v>
      </c>
      <c r="E19" s="46" t="s">
        <v>77</v>
      </c>
      <c r="F19" s="57"/>
      <c r="G19" s="46">
        <v>-5</v>
      </c>
      <c r="H19" s="46">
        <v>2</v>
      </c>
      <c r="I19" s="77"/>
      <c r="J19" s="49"/>
      <c r="K19" s="47"/>
      <c r="L19" s="45" t="str">
        <f t="shared" si="0"/>
        <v>UNK</v>
      </c>
      <c r="M19" s="48"/>
    </row>
    <row r="20" spans="1:13" ht="26.25">
      <c r="A20" s="75"/>
      <c r="B20" s="80" t="s">
        <v>163</v>
      </c>
      <c r="C20" s="46" t="s">
        <v>161</v>
      </c>
      <c r="D20" s="76" t="s">
        <v>94</v>
      </c>
      <c r="E20" s="46" t="s">
        <v>77</v>
      </c>
      <c r="F20" s="57"/>
      <c r="G20" s="46">
        <v>-2</v>
      </c>
      <c r="H20" s="46">
        <v>2</v>
      </c>
      <c r="I20" s="77"/>
      <c r="J20" s="49"/>
      <c r="K20" s="47"/>
      <c r="L20" s="45" t="str">
        <f t="shared" si="0"/>
        <v>UNK</v>
      </c>
      <c r="M20" s="48"/>
    </row>
    <row r="21" spans="1:13" ht="26.25">
      <c r="A21" s="75"/>
      <c r="B21" s="80" t="s">
        <v>164</v>
      </c>
      <c r="C21" s="46" t="s">
        <v>161</v>
      </c>
      <c r="D21" s="76" t="s">
        <v>94</v>
      </c>
      <c r="E21" s="46" t="s">
        <v>77</v>
      </c>
      <c r="F21" s="57"/>
      <c r="G21" s="46">
        <v>-1</v>
      </c>
      <c r="H21" s="46">
        <v>2</v>
      </c>
      <c r="I21" s="77"/>
      <c r="J21" s="49"/>
      <c r="K21" s="47"/>
      <c r="L21" s="45" t="str">
        <f t="shared" si="0"/>
        <v>UNK</v>
      </c>
      <c r="M21" s="48"/>
    </row>
    <row r="22" spans="1:13" ht="26.25">
      <c r="A22" s="75"/>
      <c r="B22" s="80" t="s">
        <v>165</v>
      </c>
      <c r="C22" s="46" t="s">
        <v>161</v>
      </c>
      <c r="D22" s="76" t="s">
        <v>94</v>
      </c>
      <c r="E22" s="46" t="s">
        <v>77</v>
      </c>
      <c r="F22" s="57"/>
      <c r="G22" s="46">
        <v>-1</v>
      </c>
      <c r="H22" s="46">
        <v>2</v>
      </c>
      <c r="I22" s="77"/>
      <c r="J22" s="49"/>
      <c r="K22" s="47"/>
      <c r="L22" s="45" t="str">
        <f t="shared" si="0"/>
        <v>UNK</v>
      </c>
      <c r="M22" s="48"/>
    </row>
    <row r="23" spans="1:13" ht="26.25">
      <c r="A23" s="75"/>
      <c r="B23" s="80" t="s">
        <v>166</v>
      </c>
      <c r="C23" s="46" t="s">
        <v>161</v>
      </c>
      <c r="D23" s="76" t="s">
        <v>94</v>
      </c>
      <c r="E23" s="46" t="s">
        <v>77</v>
      </c>
      <c r="F23" s="57"/>
      <c r="G23" s="46">
        <v>-1</v>
      </c>
      <c r="H23" s="46">
        <v>2</v>
      </c>
      <c r="I23" s="77"/>
      <c r="J23" s="49"/>
      <c r="K23" s="47"/>
      <c r="L23" s="45" t="str">
        <f t="shared" si="0"/>
        <v>UNK</v>
      </c>
      <c r="M23" s="48"/>
    </row>
    <row r="24" spans="1:13" ht="26.25">
      <c r="A24" s="75" t="s">
        <v>168</v>
      </c>
      <c r="B24" s="80" t="s">
        <v>160</v>
      </c>
      <c r="C24" s="46" t="s">
        <v>161</v>
      </c>
      <c r="D24" s="76" t="s">
        <v>94</v>
      </c>
      <c r="E24" s="46" t="s">
        <v>77</v>
      </c>
      <c r="F24" s="57"/>
      <c r="G24" s="46">
        <v>-30</v>
      </c>
      <c r="H24" s="46">
        <v>2</v>
      </c>
      <c r="I24" s="77"/>
      <c r="J24" s="49"/>
      <c r="K24" s="47"/>
      <c r="L24" s="45" t="str">
        <f t="shared" si="0"/>
        <v>UNK</v>
      </c>
      <c r="M24" s="51"/>
    </row>
    <row r="25" spans="1:13" ht="26.25">
      <c r="A25" s="75"/>
      <c r="B25" s="80" t="s">
        <v>162</v>
      </c>
      <c r="C25" s="46" t="s">
        <v>161</v>
      </c>
      <c r="D25" s="76" t="s">
        <v>94</v>
      </c>
      <c r="E25" s="46" t="s">
        <v>77</v>
      </c>
      <c r="F25" s="57"/>
      <c r="G25" s="46">
        <v>-20</v>
      </c>
      <c r="H25" s="46">
        <v>2</v>
      </c>
      <c r="I25" s="77"/>
      <c r="J25" s="49"/>
      <c r="K25" s="47"/>
      <c r="L25" s="45" t="str">
        <f t="shared" si="0"/>
        <v>UNK</v>
      </c>
      <c r="M25" s="48"/>
    </row>
    <row r="26" spans="1:13" ht="26.25">
      <c r="A26" s="75"/>
      <c r="B26" s="80" t="s">
        <v>163</v>
      </c>
      <c r="C26" s="46" t="s">
        <v>161</v>
      </c>
      <c r="D26" s="76" t="s">
        <v>94</v>
      </c>
      <c r="E26" s="46" t="s">
        <v>77</v>
      </c>
      <c r="F26" s="57"/>
      <c r="G26" s="46">
        <v>-10</v>
      </c>
      <c r="H26" s="46">
        <f>(G26-F26)*0.05</f>
        <v>-0.5</v>
      </c>
      <c r="I26" s="77"/>
      <c r="J26" s="49"/>
      <c r="K26" s="47"/>
      <c r="L26" s="45" t="str">
        <f t="shared" si="0"/>
        <v>UNK</v>
      </c>
      <c r="M26" s="48"/>
    </row>
    <row r="27" spans="1:13" ht="26.25">
      <c r="A27" s="75"/>
      <c r="B27" s="80" t="s">
        <v>164</v>
      </c>
      <c r="C27" s="46" t="s">
        <v>161</v>
      </c>
      <c r="D27" s="76" t="s">
        <v>94</v>
      </c>
      <c r="E27" s="46" t="s">
        <v>77</v>
      </c>
      <c r="F27" s="57"/>
      <c r="G27" s="46">
        <v>-10</v>
      </c>
      <c r="H27" s="46">
        <f>(G27-F27)*0.05</f>
        <v>-0.5</v>
      </c>
      <c r="I27" s="77"/>
      <c r="J27" s="49"/>
      <c r="K27" s="47"/>
      <c r="L27" s="45" t="str">
        <f t="shared" si="0"/>
        <v>UNK</v>
      </c>
      <c r="M27" s="48"/>
    </row>
    <row r="28" spans="1:13" ht="26.25">
      <c r="A28" s="75"/>
      <c r="B28" s="80" t="s">
        <v>165</v>
      </c>
      <c r="C28" s="46" t="s">
        <v>161</v>
      </c>
      <c r="D28" s="76" t="s">
        <v>94</v>
      </c>
      <c r="E28" s="46" t="s">
        <v>77</v>
      </c>
      <c r="F28" s="57"/>
      <c r="G28" s="46">
        <v>-4</v>
      </c>
      <c r="H28" s="46">
        <v>2</v>
      </c>
      <c r="I28" s="77"/>
      <c r="J28" s="49"/>
      <c r="K28" s="47"/>
      <c r="L28" s="45" t="str">
        <f t="shared" si="0"/>
        <v>UNK</v>
      </c>
      <c r="M28" s="48"/>
    </row>
    <row r="29" spans="1:13" ht="26.25">
      <c r="A29" s="75"/>
      <c r="B29" s="80" t="s">
        <v>166</v>
      </c>
      <c r="C29" s="46" t="s">
        <v>161</v>
      </c>
      <c r="D29" s="76" t="s">
        <v>94</v>
      </c>
      <c r="E29" s="46" t="s">
        <v>77</v>
      </c>
      <c r="F29" s="57"/>
      <c r="G29" s="46">
        <v>-4</v>
      </c>
      <c r="H29" s="46">
        <v>2</v>
      </c>
      <c r="I29" s="77"/>
      <c r="J29" s="49"/>
      <c r="K29" s="47"/>
      <c r="L29" s="45" t="str">
        <f t="shared" si="0"/>
        <v>UNK</v>
      </c>
      <c r="M29" s="48"/>
    </row>
    <row r="30" spans="1:13" ht="26.25">
      <c r="A30" s="75" t="s">
        <v>169</v>
      </c>
      <c r="B30" s="80" t="s">
        <v>170</v>
      </c>
      <c r="C30" s="46" t="s">
        <v>161</v>
      </c>
      <c r="D30" s="76" t="s">
        <v>94</v>
      </c>
      <c r="E30" s="46" t="s">
        <v>76</v>
      </c>
      <c r="F30" s="57"/>
      <c r="G30" s="46">
        <v>-14</v>
      </c>
      <c r="H30" s="46">
        <v>2</v>
      </c>
      <c r="I30" s="47"/>
      <c r="J30" s="45" t="str">
        <f aca="true" t="shared" si="1" ref="J30:J35">IF(ISBLANK(I30),"UNK",IF(I30&lt;=$G30,"PASS","F - N/A"))</f>
        <v>UNK</v>
      </c>
      <c r="K30" s="77"/>
      <c r="L30" s="49"/>
      <c r="M30" s="48"/>
    </row>
    <row r="31" spans="1:13" ht="26.25">
      <c r="A31" s="75"/>
      <c r="B31" s="80" t="s">
        <v>160</v>
      </c>
      <c r="C31" s="46" t="s">
        <v>161</v>
      </c>
      <c r="D31" s="76" t="s">
        <v>94</v>
      </c>
      <c r="E31" s="46" t="s">
        <v>76</v>
      </c>
      <c r="F31" s="57"/>
      <c r="G31" s="46">
        <v>-8</v>
      </c>
      <c r="H31" s="46">
        <v>2</v>
      </c>
      <c r="I31" s="47"/>
      <c r="J31" s="45" t="str">
        <f t="shared" si="1"/>
        <v>UNK</v>
      </c>
      <c r="K31" s="77"/>
      <c r="L31" s="49"/>
      <c r="M31" s="48"/>
    </row>
    <row r="32" spans="1:13" ht="26.25">
      <c r="A32" s="75"/>
      <c r="B32" s="80" t="s">
        <v>162</v>
      </c>
      <c r="C32" s="46" t="s">
        <v>161</v>
      </c>
      <c r="D32" s="76" t="s">
        <v>94</v>
      </c>
      <c r="E32" s="46" t="s">
        <v>76</v>
      </c>
      <c r="F32" s="57"/>
      <c r="G32" s="46">
        <v>-6</v>
      </c>
      <c r="H32" s="46">
        <v>2</v>
      </c>
      <c r="I32" s="47"/>
      <c r="J32" s="45" t="str">
        <f t="shared" si="1"/>
        <v>UNK</v>
      </c>
      <c r="K32" s="77"/>
      <c r="L32" s="49"/>
      <c r="M32" s="48"/>
    </row>
    <row r="33" spans="1:13" ht="26.25">
      <c r="A33" s="75"/>
      <c r="B33" s="80" t="s">
        <v>163</v>
      </c>
      <c r="C33" s="46" t="s">
        <v>161</v>
      </c>
      <c r="D33" s="76" t="s">
        <v>94</v>
      </c>
      <c r="E33" s="46" t="s">
        <v>76</v>
      </c>
      <c r="F33" s="57"/>
      <c r="G33" s="46">
        <v>-6</v>
      </c>
      <c r="H33" s="46">
        <v>2</v>
      </c>
      <c r="I33" s="47"/>
      <c r="J33" s="45" t="str">
        <f t="shared" si="1"/>
        <v>UNK</v>
      </c>
      <c r="K33" s="77"/>
      <c r="L33" s="49"/>
      <c r="M33" s="48"/>
    </row>
    <row r="34" spans="1:13" ht="26.25">
      <c r="A34" s="75"/>
      <c r="B34" s="80" t="s">
        <v>164</v>
      </c>
      <c r="C34" s="46" t="s">
        <v>161</v>
      </c>
      <c r="D34" s="76" t="s">
        <v>94</v>
      </c>
      <c r="E34" s="46" t="s">
        <v>76</v>
      </c>
      <c r="F34" s="57"/>
      <c r="G34" s="46">
        <v>-3</v>
      </c>
      <c r="H34" s="46">
        <v>2</v>
      </c>
      <c r="I34" s="47"/>
      <c r="J34" s="45" t="str">
        <f t="shared" si="1"/>
        <v>UNK</v>
      </c>
      <c r="K34" s="77"/>
      <c r="L34" s="49"/>
      <c r="M34" s="48"/>
    </row>
    <row r="35" spans="1:13" ht="26.25">
      <c r="A35" s="75"/>
      <c r="B35" s="80" t="s">
        <v>165</v>
      </c>
      <c r="C35" s="46" t="s">
        <v>161</v>
      </c>
      <c r="D35" s="76" t="s">
        <v>94</v>
      </c>
      <c r="E35" s="46" t="s">
        <v>76</v>
      </c>
      <c r="F35" s="57"/>
      <c r="G35" s="46">
        <v>-1</v>
      </c>
      <c r="H35" s="46">
        <v>2</v>
      </c>
      <c r="I35" s="47"/>
      <c r="J35" s="45" t="str">
        <f t="shared" si="1"/>
        <v>UNK</v>
      </c>
      <c r="K35" s="77"/>
      <c r="L35" s="49"/>
      <c r="M35" s="48"/>
    </row>
    <row r="36" spans="1:13" ht="12.75">
      <c r="A36" s="75" t="s">
        <v>171</v>
      </c>
      <c r="B36" s="45" t="s">
        <v>152</v>
      </c>
      <c r="C36" s="46" t="s">
        <v>153</v>
      </c>
      <c r="D36" s="76" t="s">
        <v>94</v>
      </c>
      <c r="E36" s="46" t="s">
        <v>76</v>
      </c>
      <c r="F36" s="46">
        <v>85</v>
      </c>
      <c r="G36" s="46">
        <v>115</v>
      </c>
      <c r="H36" s="46">
        <f>(G36-F36)*0.1</f>
        <v>3</v>
      </c>
      <c r="I36" s="47"/>
      <c r="J36" s="45" t="str">
        <f>IF(COUNTIF(J58:J63,"PASS")&gt;5,"N/A",IF(ISBLANK(I36),"UNK",IF(AND(I36&lt;=$G36,I36&gt;=$F36),"PASS","FAIL")))</f>
        <v>UNK</v>
      </c>
      <c r="K36" s="77"/>
      <c r="L36" s="49"/>
      <c r="M36" s="48" t="s">
        <v>172</v>
      </c>
    </row>
    <row r="37" spans="1:13" ht="12.75">
      <c r="A37" s="75"/>
      <c r="B37" s="45" t="s">
        <v>102</v>
      </c>
      <c r="C37" s="46" t="s">
        <v>153</v>
      </c>
      <c r="D37" s="76" t="s">
        <v>94</v>
      </c>
      <c r="E37" s="46" t="s">
        <v>76</v>
      </c>
      <c r="F37" s="46">
        <v>85</v>
      </c>
      <c r="G37" s="46">
        <v>115</v>
      </c>
      <c r="H37" s="46">
        <f>(G37-F37)*0.1</f>
        <v>3</v>
      </c>
      <c r="I37" s="47"/>
      <c r="J37" s="45" t="str">
        <f>IF(COUNTIF(J58:J63,"PASS")&gt;5,"N/A",IF(ISBLANK(I37),"UNK",IF(AND(I37&lt;=$G37,I37&gt;=$F37),"PASS","FAIL")))</f>
        <v>UNK</v>
      </c>
      <c r="K37" s="77"/>
      <c r="L37" s="49"/>
      <c r="M37" s="48" t="s">
        <v>172</v>
      </c>
    </row>
    <row r="38" spans="1:13" ht="12.75">
      <c r="A38" s="78" t="s">
        <v>173</v>
      </c>
      <c r="B38" s="54" t="s">
        <v>156</v>
      </c>
      <c r="C38" s="55" t="s">
        <v>153</v>
      </c>
      <c r="D38" s="79" t="s">
        <v>94</v>
      </c>
      <c r="E38" s="55" t="s">
        <v>76</v>
      </c>
      <c r="F38" s="46">
        <v>40</v>
      </c>
      <c r="G38" s="46" t="s">
        <v>157</v>
      </c>
      <c r="H38" s="46">
        <f>F38*0.1</f>
        <v>4</v>
      </c>
      <c r="I38" s="56"/>
      <c r="J38" s="209"/>
      <c r="K38" s="77"/>
      <c r="L38" s="49"/>
      <c r="M38" s="51" t="s">
        <v>95</v>
      </c>
    </row>
    <row r="39" spans="1:13" ht="12.75">
      <c r="A39" s="78"/>
      <c r="B39" s="54" t="s">
        <v>158</v>
      </c>
      <c r="C39" s="55" t="s">
        <v>153</v>
      </c>
      <c r="D39" s="79" t="s">
        <v>94</v>
      </c>
      <c r="E39" s="55" t="s">
        <v>76</v>
      </c>
      <c r="F39" s="46">
        <v>40</v>
      </c>
      <c r="G39" s="46" t="s">
        <v>157</v>
      </c>
      <c r="H39" s="46">
        <f>F39*0.1</f>
        <v>4</v>
      </c>
      <c r="I39" s="56"/>
      <c r="J39" s="209"/>
      <c r="K39" s="77"/>
      <c r="L39" s="49"/>
      <c r="M39" s="51" t="s">
        <v>95</v>
      </c>
    </row>
    <row r="40" spans="1:13" ht="26.25">
      <c r="A40" s="75" t="s">
        <v>174</v>
      </c>
      <c r="B40" s="80" t="s">
        <v>160</v>
      </c>
      <c r="C40" s="46" t="s">
        <v>161</v>
      </c>
      <c r="D40" s="46" t="s">
        <v>126</v>
      </c>
      <c r="E40" s="46" t="s">
        <v>77</v>
      </c>
      <c r="F40" s="57"/>
      <c r="G40" s="46">
        <v>-18</v>
      </c>
      <c r="H40" s="46">
        <v>2</v>
      </c>
      <c r="I40" s="77"/>
      <c r="J40" s="49"/>
      <c r="K40" s="47"/>
      <c r="L40" s="45" t="str">
        <f>IF(ISBLANK(K40),"UNK",IF(K40&lt;=$G40,"PASS","FAIL"))</f>
        <v>UNK</v>
      </c>
      <c r="M40" s="51"/>
    </row>
    <row r="41" spans="1:13" ht="26.25">
      <c r="A41" s="75"/>
      <c r="B41" s="80" t="s">
        <v>162</v>
      </c>
      <c r="C41" s="46" t="s">
        <v>161</v>
      </c>
      <c r="D41" s="46" t="s">
        <v>126</v>
      </c>
      <c r="E41" s="46" t="s">
        <v>77</v>
      </c>
      <c r="F41" s="57"/>
      <c r="G41" s="46">
        <v>-14</v>
      </c>
      <c r="H41" s="46">
        <v>2</v>
      </c>
      <c r="I41" s="77"/>
      <c r="J41" s="49"/>
      <c r="K41" s="47"/>
      <c r="L41" s="45" t="str">
        <f aca="true" t="shared" si="2" ref="L41:L57">IF(ISBLANK(K41),"UNK",IF(K41&lt;=$G41,"PASS","FAIL"))</f>
        <v>UNK</v>
      </c>
      <c r="M41" s="48"/>
    </row>
    <row r="42" spans="1:13" ht="26.25">
      <c r="A42" s="75"/>
      <c r="B42" s="80" t="s">
        <v>163</v>
      </c>
      <c r="C42" s="46" t="s">
        <v>161</v>
      </c>
      <c r="D42" s="46" t="s">
        <v>126</v>
      </c>
      <c r="E42" s="46" t="s">
        <v>77</v>
      </c>
      <c r="F42" s="57"/>
      <c r="G42" s="46">
        <v>-10</v>
      </c>
      <c r="H42" s="46">
        <v>2</v>
      </c>
      <c r="I42" s="77"/>
      <c r="J42" s="49"/>
      <c r="K42" s="47"/>
      <c r="L42" s="45" t="str">
        <f t="shared" si="2"/>
        <v>UNK</v>
      </c>
      <c r="M42" s="48"/>
    </row>
    <row r="43" spans="1:13" ht="26.25">
      <c r="A43" s="75"/>
      <c r="B43" s="80" t="s">
        <v>164</v>
      </c>
      <c r="C43" s="46" t="s">
        <v>161</v>
      </c>
      <c r="D43" s="46" t="s">
        <v>126</v>
      </c>
      <c r="E43" s="46" t="s">
        <v>77</v>
      </c>
      <c r="F43" s="57"/>
      <c r="G43" s="46">
        <v>-8</v>
      </c>
      <c r="H43" s="46">
        <v>2</v>
      </c>
      <c r="I43" s="77"/>
      <c r="J43" s="49"/>
      <c r="K43" s="47"/>
      <c r="L43" s="45" t="str">
        <f t="shared" si="2"/>
        <v>UNK</v>
      </c>
      <c r="M43" s="48"/>
    </row>
    <row r="44" spans="1:13" ht="26.25">
      <c r="A44" s="75"/>
      <c r="B44" s="80" t="s">
        <v>165</v>
      </c>
      <c r="C44" s="46" t="s">
        <v>161</v>
      </c>
      <c r="D44" s="46" t="s">
        <v>126</v>
      </c>
      <c r="E44" s="46" t="s">
        <v>77</v>
      </c>
      <c r="F44" s="57"/>
      <c r="G44" s="46">
        <v>-3</v>
      </c>
      <c r="H44" s="46">
        <v>2</v>
      </c>
      <c r="I44" s="77"/>
      <c r="J44" s="49"/>
      <c r="K44" s="47"/>
      <c r="L44" s="45" t="str">
        <f t="shared" si="2"/>
        <v>UNK</v>
      </c>
      <c r="M44" s="48"/>
    </row>
    <row r="45" spans="1:13" ht="26.25">
      <c r="A45" s="75"/>
      <c r="B45" s="80" t="s">
        <v>166</v>
      </c>
      <c r="C45" s="46" t="s">
        <v>161</v>
      </c>
      <c r="D45" s="46" t="s">
        <v>126</v>
      </c>
      <c r="E45" s="46" t="s">
        <v>77</v>
      </c>
      <c r="F45" s="57"/>
      <c r="G45" s="46">
        <v>-1</v>
      </c>
      <c r="H45" s="46">
        <v>2</v>
      </c>
      <c r="I45" s="77"/>
      <c r="J45" s="49"/>
      <c r="K45" s="47"/>
      <c r="L45" s="45" t="str">
        <f t="shared" si="2"/>
        <v>UNK</v>
      </c>
      <c r="M45" s="48"/>
    </row>
    <row r="46" spans="1:13" ht="26.25">
      <c r="A46" s="75" t="s">
        <v>175</v>
      </c>
      <c r="B46" s="80" t="s">
        <v>160</v>
      </c>
      <c r="C46" s="46" t="s">
        <v>161</v>
      </c>
      <c r="D46" s="46" t="s">
        <v>126</v>
      </c>
      <c r="E46" s="46" t="s">
        <v>77</v>
      </c>
      <c r="F46" s="57"/>
      <c r="G46" s="46">
        <v>-5</v>
      </c>
      <c r="H46" s="46">
        <v>2</v>
      </c>
      <c r="I46" s="77"/>
      <c r="J46" s="49"/>
      <c r="K46" s="47"/>
      <c r="L46" s="45" t="str">
        <f t="shared" si="2"/>
        <v>UNK</v>
      </c>
      <c r="M46" s="51"/>
    </row>
    <row r="47" spans="1:13" ht="26.25">
      <c r="A47" s="75"/>
      <c r="B47" s="80" t="s">
        <v>162</v>
      </c>
      <c r="C47" s="46" t="s">
        <v>161</v>
      </c>
      <c r="D47" s="46" t="s">
        <v>126</v>
      </c>
      <c r="E47" s="46" t="s">
        <v>77</v>
      </c>
      <c r="F47" s="57"/>
      <c r="G47" s="46">
        <v>-5</v>
      </c>
      <c r="H47" s="46">
        <v>2</v>
      </c>
      <c r="I47" s="77"/>
      <c r="J47" s="49"/>
      <c r="K47" s="47"/>
      <c r="L47" s="45" t="str">
        <f t="shared" si="2"/>
        <v>UNK</v>
      </c>
      <c r="M47" s="48"/>
    </row>
    <row r="48" spans="1:13" ht="26.25">
      <c r="A48" s="75"/>
      <c r="B48" s="80" t="s">
        <v>163</v>
      </c>
      <c r="C48" s="46" t="s">
        <v>161</v>
      </c>
      <c r="D48" s="46" t="s">
        <v>126</v>
      </c>
      <c r="E48" s="46" t="s">
        <v>77</v>
      </c>
      <c r="F48" s="57"/>
      <c r="G48" s="46">
        <v>-2</v>
      </c>
      <c r="H48" s="46">
        <v>2</v>
      </c>
      <c r="I48" s="77"/>
      <c r="J48" s="49"/>
      <c r="K48" s="47"/>
      <c r="L48" s="45" t="str">
        <f t="shared" si="2"/>
        <v>UNK</v>
      </c>
      <c r="M48" s="48"/>
    </row>
    <row r="49" spans="1:13" ht="26.25">
      <c r="A49" s="75"/>
      <c r="B49" s="80" t="s">
        <v>164</v>
      </c>
      <c r="C49" s="46" t="s">
        <v>161</v>
      </c>
      <c r="D49" s="46" t="s">
        <v>126</v>
      </c>
      <c r="E49" s="46" t="s">
        <v>77</v>
      </c>
      <c r="F49" s="57"/>
      <c r="G49" s="46">
        <v>-1</v>
      </c>
      <c r="H49" s="46">
        <v>2</v>
      </c>
      <c r="I49" s="77"/>
      <c r="J49" s="49"/>
      <c r="K49" s="47"/>
      <c r="L49" s="45" t="str">
        <f t="shared" si="2"/>
        <v>UNK</v>
      </c>
      <c r="M49" s="48"/>
    </row>
    <row r="50" spans="1:13" ht="26.25">
      <c r="A50" s="75"/>
      <c r="B50" s="80" t="s">
        <v>165</v>
      </c>
      <c r="C50" s="46" t="s">
        <v>161</v>
      </c>
      <c r="D50" s="46" t="s">
        <v>126</v>
      </c>
      <c r="E50" s="46" t="s">
        <v>77</v>
      </c>
      <c r="F50" s="57"/>
      <c r="G50" s="46">
        <v>-1</v>
      </c>
      <c r="H50" s="46">
        <v>2</v>
      </c>
      <c r="I50" s="77"/>
      <c r="J50" s="49"/>
      <c r="K50" s="47"/>
      <c r="L50" s="45" t="str">
        <f t="shared" si="2"/>
        <v>UNK</v>
      </c>
      <c r="M50" s="48"/>
    </row>
    <row r="51" spans="1:13" ht="26.25">
      <c r="A51" s="75"/>
      <c r="B51" s="80" t="s">
        <v>166</v>
      </c>
      <c r="C51" s="46" t="s">
        <v>161</v>
      </c>
      <c r="D51" s="46" t="s">
        <v>126</v>
      </c>
      <c r="E51" s="46" t="s">
        <v>77</v>
      </c>
      <c r="F51" s="57"/>
      <c r="G51" s="46">
        <v>-1</v>
      </c>
      <c r="H51" s="46">
        <v>2</v>
      </c>
      <c r="I51" s="77"/>
      <c r="J51" s="49"/>
      <c r="K51" s="47"/>
      <c r="L51" s="45" t="str">
        <f t="shared" si="2"/>
        <v>UNK</v>
      </c>
      <c r="M51" s="48"/>
    </row>
    <row r="52" spans="1:13" ht="26.25">
      <c r="A52" s="75" t="s">
        <v>176</v>
      </c>
      <c r="B52" s="80" t="s">
        <v>160</v>
      </c>
      <c r="C52" s="46" t="s">
        <v>161</v>
      </c>
      <c r="D52" s="46" t="s">
        <v>126</v>
      </c>
      <c r="E52" s="46" t="s">
        <v>77</v>
      </c>
      <c r="F52" s="57"/>
      <c r="G52" s="46">
        <v>-30</v>
      </c>
      <c r="H52" s="46">
        <v>2</v>
      </c>
      <c r="I52" s="77"/>
      <c r="J52" s="49"/>
      <c r="K52" s="47"/>
      <c r="L52" s="45" t="str">
        <f t="shared" si="2"/>
        <v>UNK</v>
      </c>
      <c r="M52" s="51"/>
    </row>
    <row r="53" spans="1:13" ht="26.25">
      <c r="A53" s="75"/>
      <c r="B53" s="80" t="s">
        <v>162</v>
      </c>
      <c r="C53" s="46" t="s">
        <v>161</v>
      </c>
      <c r="D53" s="46" t="s">
        <v>126</v>
      </c>
      <c r="E53" s="46" t="s">
        <v>77</v>
      </c>
      <c r="F53" s="57"/>
      <c r="G53" s="46">
        <v>-30</v>
      </c>
      <c r="H53" s="46">
        <v>2</v>
      </c>
      <c r="I53" s="77"/>
      <c r="J53" s="49"/>
      <c r="K53" s="47"/>
      <c r="L53" s="45" t="str">
        <f t="shared" si="2"/>
        <v>UNK</v>
      </c>
      <c r="M53" s="48"/>
    </row>
    <row r="54" spans="1:13" ht="26.25">
      <c r="A54" s="75"/>
      <c r="B54" s="80" t="s">
        <v>163</v>
      </c>
      <c r="C54" s="46" t="s">
        <v>161</v>
      </c>
      <c r="D54" s="46" t="s">
        <v>126</v>
      </c>
      <c r="E54" s="46" t="s">
        <v>77</v>
      </c>
      <c r="F54" s="57"/>
      <c r="G54" s="46">
        <v>-10</v>
      </c>
      <c r="H54" s="46">
        <v>2</v>
      </c>
      <c r="I54" s="77"/>
      <c r="J54" s="49"/>
      <c r="K54" s="47"/>
      <c r="L54" s="45" t="str">
        <f t="shared" si="2"/>
        <v>UNK</v>
      </c>
      <c r="M54" s="48"/>
    </row>
    <row r="55" spans="1:13" ht="26.25">
      <c r="A55" s="75"/>
      <c r="B55" s="80" t="s">
        <v>164</v>
      </c>
      <c r="C55" s="46" t="s">
        <v>161</v>
      </c>
      <c r="D55" s="46" t="s">
        <v>126</v>
      </c>
      <c r="E55" s="46" t="s">
        <v>77</v>
      </c>
      <c r="F55" s="57"/>
      <c r="G55" s="46">
        <v>-10</v>
      </c>
      <c r="H55" s="46">
        <f>(G55-F55)*0.05</f>
        <v>-0.5</v>
      </c>
      <c r="I55" s="77"/>
      <c r="J55" s="49"/>
      <c r="K55" s="47"/>
      <c r="L55" s="45" t="str">
        <f t="shared" si="2"/>
        <v>UNK</v>
      </c>
      <c r="M55" s="48"/>
    </row>
    <row r="56" spans="1:13" ht="26.25">
      <c r="A56" s="75"/>
      <c r="B56" s="80" t="s">
        <v>165</v>
      </c>
      <c r="C56" s="46" t="s">
        <v>161</v>
      </c>
      <c r="D56" s="46" t="s">
        <v>126</v>
      </c>
      <c r="E56" s="46" t="s">
        <v>77</v>
      </c>
      <c r="F56" s="57"/>
      <c r="G56" s="46">
        <v>-4</v>
      </c>
      <c r="H56" s="46">
        <v>2</v>
      </c>
      <c r="I56" s="77"/>
      <c r="J56" s="49"/>
      <c r="K56" s="47"/>
      <c r="L56" s="45" t="str">
        <f t="shared" si="2"/>
        <v>UNK</v>
      </c>
      <c r="M56" s="48"/>
    </row>
    <row r="57" spans="1:13" ht="26.25">
      <c r="A57" s="75"/>
      <c r="B57" s="80" t="s">
        <v>166</v>
      </c>
      <c r="C57" s="46" t="s">
        <v>161</v>
      </c>
      <c r="D57" s="46" t="s">
        <v>126</v>
      </c>
      <c r="E57" s="46" t="s">
        <v>77</v>
      </c>
      <c r="F57" s="57"/>
      <c r="G57" s="46">
        <v>-4</v>
      </c>
      <c r="H57" s="46">
        <v>2</v>
      </c>
      <c r="I57" s="77"/>
      <c r="J57" s="49"/>
      <c r="K57" s="47"/>
      <c r="L57" s="45" t="str">
        <f t="shared" si="2"/>
        <v>UNK</v>
      </c>
      <c r="M57" s="48"/>
    </row>
    <row r="58" spans="1:13" ht="26.25">
      <c r="A58" s="75" t="s">
        <v>177</v>
      </c>
      <c r="B58" s="80" t="s">
        <v>170</v>
      </c>
      <c r="C58" s="46" t="s">
        <v>161</v>
      </c>
      <c r="D58" s="46" t="s">
        <v>126</v>
      </c>
      <c r="E58" s="46" t="s">
        <v>76</v>
      </c>
      <c r="F58" s="57"/>
      <c r="G58" s="46">
        <v>-18</v>
      </c>
      <c r="H58" s="46">
        <v>2</v>
      </c>
      <c r="I58" s="47"/>
      <c r="J58" s="45" t="str">
        <f aca="true" t="shared" si="3" ref="J58:J63">IF(ISBLANK(I58),"UNK",IF(I58&lt;=$G58,"PASS","F - N/A"))</f>
        <v>UNK</v>
      </c>
      <c r="K58" s="77"/>
      <c r="L58" s="49"/>
      <c r="M58" s="48"/>
    </row>
    <row r="59" spans="1:13" ht="26.25">
      <c r="A59" s="75"/>
      <c r="B59" s="80" t="s">
        <v>160</v>
      </c>
      <c r="C59" s="46" t="s">
        <v>161</v>
      </c>
      <c r="D59" s="46" t="s">
        <v>126</v>
      </c>
      <c r="E59" s="46" t="s">
        <v>76</v>
      </c>
      <c r="F59" s="57"/>
      <c r="G59" s="46">
        <v>-14</v>
      </c>
      <c r="H59" s="46">
        <v>2</v>
      </c>
      <c r="I59" s="47"/>
      <c r="J59" s="45" t="str">
        <f t="shared" si="3"/>
        <v>UNK</v>
      </c>
      <c r="K59" s="77"/>
      <c r="L59" s="49"/>
      <c r="M59" s="48"/>
    </row>
    <row r="60" spans="1:13" ht="26.25">
      <c r="A60" s="75"/>
      <c r="B60" s="80" t="s">
        <v>162</v>
      </c>
      <c r="C60" s="46" t="s">
        <v>161</v>
      </c>
      <c r="D60" s="46" t="s">
        <v>126</v>
      </c>
      <c r="E60" s="46" t="s">
        <v>76</v>
      </c>
      <c r="F60" s="57"/>
      <c r="G60" s="46">
        <v>-10</v>
      </c>
      <c r="H60" s="46">
        <v>2</v>
      </c>
      <c r="I60" s="47"/>
      <c r="J60" s="45" t="str">
        <f t="shared" si="3"/>
        <v>UNK</v>
      </c>
      <c r="K60" s="77"/>
      <c r="L60" s="49"/>
      <c r="M60" s="48"/>
    </row>
    <row r="61" spans="1:13" ht="26.25">
      <c r="A61" s="75"/>
      <c r="B61" s="80" t="s">
        <v>163</v>
      </c>
      <c r="C61" s="46" t="s">
        <v>161</v>
      </c>
      <c r="D61" s="46" t="s">
        <v>126</v>
      </c>
      <c r="E61" s="46" t="s">
        <v>76</v>
      </c>
      <c r="F61" s="57"/>
      <c r="G61" s="46">
        <v>-8</v>
      </c>
      <c r="H61" s="46">
        <v>2</v>
      </c>
      <c r="I61" s="47"/>
      <c r="J61" s="45" t="str">
        <f t="shared" si="3"/>
        <v>UNK</v>
      </c>
      <c r="K61" s="77"/>
      <c r="L61" s="49"/>
      <c r="M61" s="48"/>
    </row>
    <row r="62" spans="1:13" ht="26.25">
      <c r="A62" s="75"/>
      <c r="B62" s="80" t="s">
        <v>164</v>
      </c>
      <c r="C62" s="46" t="s">
        <v>161</v>
      </c>
      <c r="D62" s="46" t="s">
        <v>126</v>
      </c>
      <c r="E62" s="46" t="s">
        <v>76</v>
      </c>
      <c r="F62" s="57"/>
      <c r="G62" s="46">
        <v>-3</v>
      </c>
      <c r="H62" s="46">
        <v>2</v>
      </c>
      <c r="I62" s="47"/>
      <c r="J62" s="45" t="str">
        <f t="shared" si="3"/>
        <v>UNK</v>
      </c>
      <c r="K62" s="77"/>
      <c r="L62" s="49"/>
      <c r="M62" s="48"/>
    </row>
    <row r="63" spans="1:13" ht="26.25">
      <c r="A63" s="75"/>
      <c r="B63" s="80" t="s">
        <v>165</v>
      </c>
      <c r="C63" s="46" t="s">
        <v>161</v>
      </c>
      <c r="D63" s="46" t="s">
        <v>126</v>
      </c>
      <c r="E63" s="46" t="s">
        <v>76</v>
      </c>
      <c r="F63" s="57"/>
      <c r="G63" s="46">
        <v>-1</v>
      </c>
      <c r="H63" s="46">
        <v>2</v>
      </c>
      <c r="I63" s="47"/>
      <c r="J63" s="45" t="str">
        <f t="shared" si="3"/>
        <v>UNK</v>
      </c>
      <c r="K63" s="77"/>
      <c r="L63" s="49"/>
      <c r="M63" s="48"/>
    </row>
  </sheetData>
  <sheetProtection/>
  <conditionalFormatting sqref="K8:K9 K36:K37">
    <cfRule type="cellIs" priority="1" dxfId="6" operator="equal" stopIfTrue="1">
      <formula>ISBLANK</formula>
    </cfRule>
    <cfRule type="cellIs" priority="2" dxfId="4" operator="notBetween" stopIfTrue="1">
      <formula>$F8</formula>
      <formula>$G8</formula>
    </cfRule>
    <cfRule type="cellIs" priority="3" dxfId="7" operator="notBetween" stopIfTrue="1">
      <formula>$F8+$H8</formula>
      <formula>$G8-$H8</formula>
    </cfRule>
  </conditionalFormatting>
  <conditionalFormatting sqref="I10:I11 I38:I39 K10:K11 K38:K39">
    <cfRule type="cellIs" priority="4" dxfId="6" operator="equal" stopIfTrue="1">
      <formula>ISBLANK</formula>
    </cfRule>
    <cfRule type="cellIs" priority="5" dxfId="4" operator="lessThan" stopIfTrue="1">
      <formula>$F10</formula>
    </cfRule>
    <cfRule type="cellIs" priority="6" dxfId="7" operator="lessThan" stopIfTrue="1">
      <formula>$F10+$H10</formula>
    </cfRule>
  </conditionalFormatting>
  <conditionalFormatting sqref="I40:I63 K40:K63 I12:I35 K12:K35">
    <cfRule type="cellIs" priority="7" dxfId="6" operator="equal" stopIfTrue="1">
      <formula>ISBLANK</formula>
    </cfRule>
    <cfRule type="cellIs" priority="8" dxfId="4" operator="greaterThan" stopIfTrue="1">
      <formula>$G12</formula>
    </cfRule>
    <cfRule type="cellIs" priority="9" dxfId="5" operator="greaterThan" stopIfTrue="1">
      <formula>$G12-$H12</formula>
    </cfRule>
  </conditionalFormatting>
  <conditionalFormatting sqref="J30:J39 J58:J63 J8:J11 L12:L29 J6 L6 L40:L57">
    <cfRule type="cellIs" priority="10" dxfId="8" operator="equal" stopIfTrue="1">
      <formula>"PASS"</formula>
    </cfRule>
    <cfRule type="cellIs" priority="11" dxfId="0" operator="equal" stopIfTrue="1">
      <formula>"FAIL"</formula>
    </cfRule>
    <cfRule type="cellIs" priority="12" dxfId="9" operator="equal" stopIfTrue="1">
      <formula>"MARGINAL"</formula>
    </cfRule>
  </conditionalFormatting>
  <conditionalFormatting sqref="I8:I9 I36:I37">
    <cfRule type="cellIs" priority="13" dxfId="6" operator="equal" stopIfTrue="1">
      <formula>ISBLANK</formula>
    </cfRule>
    <cfRule type="cellIs" priority="14" dxfId="4" operator="notBetween" stopIfTrue="1">
      <formula>$F8</formula>
      <formula>$G8</formula>
    </cfRule>
    <cfRule type="cellIs" priority="15" dxfId="5" operator="notBetween" stopIfTrue="1">
      <formula>$F8+$H8</formula>
      <formula>$G8-$H8</formula>
    </cfRule>
  </conditionalFormatting>
  <conditionalFormatting sqref="I6 K6">
    <cfRule type="cellIs" priority="16" dxfId="3" operator="equal" stopIfTrue="1">
      <formula>"COMPLETE"</formula>
    </cfRule>
    <cfRule type="cellIs" priority="17" dxfId="2" operator="equal" stopIfTrue="1">
      <formula>"INCOMPLETE"</formula>
    </cfRule>
  </conditionalFormatting>
  <dataValidations count="1">
    <dataValidation type="whole" allowBlank="1" showInputMessage="1" showErrorMessage="1" promptTitle="Test ID" prompt="Enter valid test ID (minimum of 7, maximum of 9 decimal digits)" errorTitle="Enter Valid Test ID" error="Enter valid test ID (minimum of 7, maximum of 9 decimal digits)" sqref="B4">
      <formula1>1000000</formula1>
      <formula2>199999999</formula2>
    </dataValidation>
  </dataValidations>
  <printOptions/>
  <pageMargins left="0.5" right="0.5" top="0.5" bottom="0.75" header="0.5" footer="0.5"/>
  <pageSetup horizontalDpi="300" verticalDpi="300" orientation="landscape" scale="58" r:id="rId1"/>
  <headerFooter alignWithMargins="0">
    <oddFooter>&amp;L&amp;F / &amp;A&amp;CPage &amp;P of &amp;N&amp;R&amp;D &amp;T</oddFooter>
  </headerFooter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75" zoomScaleNormal="75" workbookViewId="0" topLeftCell="A1">
      <selection activeCell="B4" sqref="B4:C4"/>
    </sheetView>
  </sheetViews>
  <sheetFormatPr defaultColWidth="9.140625" defaultRowHeight="12.75"/>
  <cols>
    <col min="1" max="1" width="46.28125" style="32" customWidth="1"/>
    <col min="2" max="2" width="12.00390625" style="32" customWidth="1"/>
    <col min="3" max="4" width="7.28125" style="32" customWidth="1"/>
    <col min="5" max="5" width="7.8515625" style="15" hidden="1" customWidth="1"/>
    <col min="6" max="6" width="11.421875" style="32" customWidth="1"/>
    <col min="7" max="7" width="12.7109375" style="15" customWidth="1"/>
    <col min="8" max="8" width="11.7109375" style="32" customWidth="1"/>
    <col min="9" max="9" width="13.28125" style="15" customWidth="1"/>
    <col min="10" max="10" width="10.7109375" style="32" customWidth="1"/>
    <col min="11" max="11" width="13.421875" style="32" customWidth="1"/>
    <col min="12" max="12" width="25.7109375" style="32" customWidth="1"/>
    <col min="13" max="16384" width="8.8515625" style="32" customWidth="1"/>
  </cols>
  <sheetData>
    <row r="1" spans="1:5" ht="15.75">
      <c r="A1" s="194" t="s">
        <v>178</v>
      </c>
      <c r="B1" s="83" t="s">
        <v>403</v>
      </c>
      <c r="C1" s="84"/>
      <c r="D1" s="210" t="s">
        <v>389</v>
      </c>
      <c r="E1" s="85"/>
    </row>
    <row r="2" ht="15">
      <c r="D2" s="211" t="s">
        <v>379</v>
      </c>
    </row>
    <row r="3" spans="1:4" ht="18.75" thickBot="1">
      <c r="A3" s="144" t="s">
        <v>54</v>
      </c>
      <c r="B3" s="254"/>
      <c r="C3" s="254"/>
      <c r="D3" s="145"/>
    </row>
    <row r="4" spans="1:4" ht="18.75" thickBot="1">
      <c r="A4" s="144" t="s">
        <v>218</v>
      </c>
      <c r="B4" s="255"/>
      <c r="C4" s="255"/>
      <c r="D4" s="214"/>
    </row>
    <row r="5" spans="6:12" ht="12.75">
      <c r="F5" s="34" t="str">
        <f>IF(OR(COUNTIF(G7:G41,"UNK")&gt;0,COUNTIF(G7:G41,"INVALID")&gt;0),"INCOMPLETE","COMPLETE")</f>
        <v>INCOMPLETE</v>
      </c>
      <c r="G5" s="45" t="str">
        <f>IF(COUNTIF(G7:G41,"FAIL")&gt;0,"FAIL",IF(OR(COUNTIF(G7:G41,"INVALID")&gt;0,COUNTIF(G7:G41,"UNK")&gt;0),"UNK","PASS"))</f>
        <v>UNK</v>
      </c>
      <c r="H5" s="34" t="str">
        <f>IF(OR(COUNTIF(I7:I41,"UNK")&gt;0,COUNTIF(I7:I41,"INVALID")&gt;0),"INCOMPLETE","COMPLETE")</f>
        <v>INCOMPLETE</v>
      </c>
      <c r="I5" s="45" t="str">
        <f>IF(COUNTIF(I7:I41,"FAIL")&gt;0,"FAIL",IF(OR(COUNTIF(I7:I41,"INVALID")&gt;0,COUNTIF(I7:I41,"UNK")&gt;0),"UNK","PASS"))</f>
        <v>UNK</v>
      </c>
      <c r="J5" s="34" t="str">
        <f>IF(OR(COUNTIF(K7:K41,"UNK")&gt;0,COUNTIF(K7:K41,"INVALID")&gt;0),"INCOMPLETE","COMPLETE")</f>
        <v>INCOMPLETE</v>
      </c>
      <c r="K5" s="45" t="str">
        <f>IF(COUNTIF(K7:K41,"FAIL")&gt;0,"FAIL",IF(OR(COUNTIF(K7:K41,"INVALID")&gt;0,COUNTIF(K7:K41,"UNK")&gt;0),"UNK","PASS"))</f>
        <v>UNK</v>
      </c>
      <c r="L5" s="15" t="s">
        <v>179</v>
      </c>
    </row>
    <row r="6" spans="1:12" s="82" customFormat="1" ht="38.25">
      <c r="A6" s="86" t="s">
        <v>59</v>
      </c>
      <c r="B6" s="87" t="s">
        <v>61</v>
      </c>
      <c r="C6" s="40" t="s">
        <v>350</v>
      </c>
      <c r="D6" s="40" t="s">
        <v>351</v>
      </c>
      <c r="E6" s="37" t="s">
        <v>180</v>
      </c>
      <c r="F6" s="40" t="s">
        <v>181</v>
      </c>
      <c r="G6" s="37" t="s">
        <v>182</v>
      </c>
      <c r="H6" s="40" t="s">
        <v>183</v>
      </c>
      <c r="I6" s="37" t="s">
        <v>184</v>
      </c>
      <c r="J6" s="40" t="s">
        <v>185</v>
      </c>
      <c r="K6" s="88" t="s">
        <v>186</v>
      </c>
      <c r="L6" s="89" t="s">
        <v>187</v>
      </c>
    </row>
    <row r="7" spans="1:12" ht="12.75">
      <c r="A7" s="90" t="s">
        <v>188</v>
      </c>
      <c r="B7" s="91" t="s">
        <v>189</v>
      </c>
      <c r="C7" s="91" t="s">
        <v>190</v>
      </c>
      <c r="D7" s="91" t="s">
        <v>190</v>
      </c>
      <c r="E7" s="91" t="s">
        <v>137</v>
      </c>
      <c r="F7" s="60"/>
      <c r="G7" s="45" t="str">
        <f>IF(ISBLANK(F7),"UNK",IF(F7="FAIL","FAIL",IF(F7="PASS","PASS","INVALID")))</f>
        <v>UNK</v>
      </c>
      <c r="H7" s="60"/>
      <c r="I7" s="45" t="str">
        <f>IF(ISBLANK(H7),"UNK",IF(H7="FAIL","FAIL",IF(H7="PASS","PASS","INVALID")))</f>
        <v>UNK</v>
      </c>
      <c r="J7" s="92"/>
      <c r="K7" s="50"/>
      <c r="L7" s="93"/>
    </row>
    <row r="8" spans="1:12" ht="12.75">
      <c r="A8" s="90" t="s">
        <v>191</v>
      </c>
      <c r="B8" s="91" t="s">
        <v>388</v>
      </c>
      <c r="C8" s="91" t="s">
        <v>190</v>
      </c>
      <c r="D8" s="91" t="s">
        <v>190</v>
      </c>
      <c r="E8" s="91" t="s">
        <v>139</v>
      </c>
      <c r="F8" s="60"/>
      <c r="G8" s="45" t="str">
        <f>IF(OR(F$8="n/a",F$8="na"),"",IF(ISBLANK(F8),"UNK",IF(F8="FAIL","FAIL",IF(F8="PASS","PASS","INVALID"))))</f>
        <v>UNK</v>
      </c>
      <c r="H8" s="60"/>
      <c r="I8" s="45" t="str">
        <f>IF(OR(H$8="n/a",H$8="na"),"",IF(ISBLANK(H8),"UNK",IF(H8="FAIL","FAIL",IF(H8="PASS","PASS","INVALID"))))</f>
        <v>UNK</v>
      </c>
      <c r="J8" s="94"/>
      <c r="K8" s="50"/>
      <c r="L8" s="95"/>
    </row>
    <row r="9" spans="1:12" ht="12.75">
      <c r="A9" s="90" t="s">
        <v>192</v>
      </c>
      <c r="B9" s="91" t="s">
        <v>189</v>
      </c>
      <c r="C9" s="91" t="s">
        <v>190</v>
      </c>
      <c r="D9" s="91" t="s">
        <v>190</v>
      </c>
      <c r="E9" s="91" t="s">
        <v>126</v>
      </c>
      <c r="F9" s="60"/>
      <c r="G9" s="45" t="str">
        <f>IF(ISBLANK(F9),"UNK",IF(F9="FAIL","FAIL",IF(F9="PASS","PASS","INVALID")))</f>
        <v>UNK</v>
      </c>
      <c r="H9" s="60"/>
      <c r="I9" s="45" t="str">
        <f>IF(ISBLANK(H9),"UNK",IF(H9="FAIL","FAIL",IF(H9="PASS","PASS","INVALID")))</f>
        <v>UNK</v>
      </c>
      <c r="J9" s="94"/>
      <c r="K9" s="50"/>
      <c r="L9" s="95"/>
    </row>
    <row r="10" spans="1:12" ht="12.75">
      <c r="A10" s="90" t="s">
        <v>193</v>
      </c>
      <c r="B10" s="91" t="s">
        <v>189</v>
      </c>
      <c r="C10" s="91" t="s">
        <v>190</v>
      </c>
      <c r="D10" s="91" t="s">
        <v>190</v>
      </c>
      <c r="E10" s="91" t="s">
        <v>190</v>
      </c>
      <c r="F10" s="60"/>
      <c r="G10" s="45" t="str">
        <f>IF(ISBLANK(F10),"UNK",IF(F10="FAIL","FAIL",IF(F10="PASS","PASS","INVALID")))</f>
        <v>UNK</v>
      </c>
      <c r="H10" s="60"/>
      <c r="I10" s="45" t="str">
        <f>IF(ISBLANK(H10),"UNK",IF(H10="FAIL","FAIL",IF(H10="PASS","PASS","INVALID")))</f>
        <v>UNK</v>
      </c>
      <c r="J10" s="94"/>
      <c r="K10" s="50"/>
      <c r="L10" s="95"/>
    </row>
    <row r="11" spans="1:12" ht="12.75">
      <c r="A11" s="213" t="s">
        <v>194</v>
      </c>
      <c r="B11" s="91" t="s">
        <v>189</v>
      </c>
      <c r="C11" s="91" t="s">
        <v>190</v>
      </c>
      <c r="D11" s="91" t="s">
        <v>190</v>
      </c>
      <c r="E11" s="91"/>
      <c r="F11" s="98"/>
      <c r="G11" s="50"/>
      <c r="H11" s="98"/>
      <c r="I11" s="50"/>
      <c r="J11" s="94"/>
      <c r="K11" s="50"/>
      <c r="L11" s="212" t="s">
        <v>340</v>
      </c>
    </row>
    <row r="12" spans="1:12" ht="12.75">
      <c r="A12" s="90" t="s">
        <v>195</v>
      </c>
      <c r="B12" s="91" t="s">
        <v>388</v>
      </c>
      <c r="C12" s="91" t="s">
        <v>190</v>
      </c>
      <c r="D12" s="91" t="s">
        <v>190</v>
      </c>
      <c r="E12" s="91"/>
      <c r="F12" s="60"/>
      <c r="G12" s="45" t="str">
        <f>IF(OR(F12="n/a",F12="na"),"",IF(ISBLANK(F12),"UNK",IF(F12="FAIL","FAIL",IF(F12="PASS","PASS","INVALID"))))</f>
        <v>UNK</v>
      </c>
      <c r="H12" s="94"/>
      <c r="I12" s="94"/>
      <c r="J12" s="94"/>
      <c r="K12" s="50"/>
      <c r="L12" s="95"/>
    </row>
    <row r="13" spans="1:12" ht="12.75">
      <c r="A13" s="90" t="s">
        <v>196</v>
      </c>
      <c r="B13" s="91" t="s">
        <v>388</v>
      </c>
      <c r="C13" s="91" t="s">
        <v>190</v>
      </c>
      <c r="D13" s="91" t="s">
        <v>190</v>
      </c>
      <c r="E13" s="91"/>
      <c r="F13" s="60"/>
      <c r="G13" s="45" t="str">
        <f>IF(OR(F13="n/a",F13="na"),"",IF(ISBLANK(F13),"UNK",IF(F13="FAIL","FAIL",IF(F13="PASS","PASS","INVALID"))))</f>
        <v>UNK</v>
      </c>
      <c r="H13" s="94"/>
      <c r="I13" s="94"/>
      <c r="J13" s="94"/>
      <c r="K13" s="50"/>
      <c r="L13" s="95"/>
    </row>
    <row r="14" spans="1:12" ht="25.5">
      <c r="A14" s="90" t="s">
        <v>197</v>
      </c>
      <c r="B14" s="91" t="s">
        <v>388</v>
      </c>
      <c r="C14" s="91" t="s">
        <v>190</v>
      </c>
      <c r="D14" s="91" t="s">
        <v>190</v>
      </c>
      <c r="E14" s="91"/>
      <c r="F14" s="60"/>
      <c r="G14" s="45" t="str">
        <f>IF(OR(F14="n/a",F14="na"),"",IF(ISBLANK(F14),"UNK",IF(F14="FAIL","FAIL",IF(F14="PASS","PASS","INVALID"))))</f>
        <v>UNK</v>
      </c>
      <c r="H14" s="94"/>
      <c r="I14" s="94"/>
      <c r="J14" s="94"/>
      <c r="K14" s="50"/>
      <c r="L14" s="95"/>
    </row>
    <row r="15" spans="1:12" ht="25.5">
      <c r="A15" s="90" t="s">
        <v>198</v>
      </c>
      <c r="B15" s="91" t="s">
        <v>388</v>
      </c>
      <c r="C15" s="91" t="s">
        <v>190</v>
      </c>
      <c r="D15" s="91" t="s">
        <v>190</v>
      </c>
      <c r="E15" s="91"/>
      <c r="F15" s="60"/>
      <c r="G15" s="45" t="str">
        <f>IF(OR(F15="n/a",F15="na"),"",IF(ISBLANK(F15),"UNK",IF(F15="FAIL","FAIL",IF(F15="PASS","PASS","INVALID"))))</f>
        <v>UNK</v>
      </c>
      <c r="H15" s="94"/>
      <c r="I15" s="94"/>
      <c r="J15" s="94"/>
      <c r="K15" s="50"/>
      <c r="L15" s="95"/>
    </row>
    <row r="16" spans="1:12" ht="12.75">
      <c r="A16" s="90" t="s">
        <v>199</v>
      </c>
      <c r="B16" s="91" t="s">
        <v>388</v>
      </c>
      <c r="C16" s="91" t="s">
        <v>190</v>
      </c>
      <c r="D16" s="91" t="s">
        <v>190</v>
      </c>
      <c r="E16" s="91"/>
      <c r="F16" s="60"/>
      <c r="G16" s="45" t="str">
        <f>IF(OR(F16="n/a",F16="na"),"",IF(ISBLANK(F16),"UNK",IF(F16="FAIL","FAIL",IF(F16="PASS","PASS","INVALID"))))</f>
        <v>UNK</v>
      </c>
      <c r="H16" s="94"/>
      <c r="I16" s="94"/>
      <c r="J16" s="94"/>
      <c r="K16" s="50"/>
      <c r="L16" s="95"/>
    </row>
    <row r="17" spans="1:12" ht="12.75">
      <c r="A17" s="90" t="s">
        <v>200</v>
      </c>
      <c r="B17" s="91" t="s">
        <v>400</v>
      </c>
      <c r="C17" s="91" t="s">
        <v>190</v>
      </c>
      <c r="D17" s="96">
        <v>10</v>
      </c>
      <c r="E17" s="96">
        <f>D17*0.1</f>
        <v>1</v>
      </c>
      <c r="F17" s="60"/>
      <c r="G17" s="45" t="str">
        <f>IF(OR(F17="n/a",F17="na"),"",IF(ISBLANK(F17),"UNK",IF(F17&lt;=$D17,"PASS","FAIL")))</f>
        <v>UNK</v>
      </c>
      <c r="H17" s="60"/>
      <c r="I17" s="45" t="str">
        <f>IF(OR(H17="n/a",H17="na"),"",IF(ISBLANK(H17),"UNK",IF(H17&lt;=$D17,"PASS","FAIL")))</f>
        <v>UNK</v>
      </c>
      <c r="J17" s="94"/>
      <c r="K17" s="50"/>
      <c r="L17" s="95"/>
    </row>
    <row r="18" spans="1:12" ht="12.75">
      <c r="A18" s="90" t="s">
        <v>201</v>
      </c>
      <c r="B18" s="91" t="s">
        <v>400</v>
      </c>
      <c r="C18" s="91">
        <v>10</v>
      </c>
      <c r="D18" s="91" t="s">
        <v>190</v>
      </c>
      <c r="E18" s="91">
        <f>C18*0.1</f>
        <v>1</v>
      </c>
      <c r="F18" s="60"/>
      <c r="G18" s="45" t="str">
        <f>IF(OR(F18="n/a",F18="na"),"",IF(ISBLANK(F18),"UNK",IF(F18&gt;=$C18,"PASS","FAIL")))</f>
        <v>UNK</v>
      </c>
      <c r="H18" s="60"/>
      <c r="I18" s="45" t="str">
        <f>IF(OR(H18="n/a",H18="na"),"",IF(ISBLANK(H18),"UNK",IF(H18&gt;=$C18,"PASS","FAIL")))</f>
        <v>UNK</v>
      </c>
      <c r="J18" s="94"/>
      <c r="K18" s="50"/>
      <c r="L18" s="95"/>
    </row>
    <row r="19" spans="1:12" ht="12.75">
      <c r="A19" s="90" t="s">
        <v>202</v>
      </c>
      <c r="B19" s="91" t="s">
        <v>400</v>
      </c>
      <c r="C19" s="91">
        <v>10</v>
      </c>
      <c r="D19" s="91" t="s">
        <v>190</v>
      </c>
      <c r="E19" s="91">
        <f>C19*0.1</f>
        <v>1</v>
      </c>
      <c r="F19" s="97"/>
      <c r="G19" s="97"/>
      <c r="H19" s="97"/>
      <c r="I19" s="97"/>
      <c r="J19" s="60"/>
      <c r="K19" s="45" t="str">
        <f>IF(OR(J19="n/a",J19="na"),"",IF(ISBLANK(J19),"UNK",IF(J19&gt;=$C19,"PASS","FAIL")))</f>
        <v>UNK</v>
      </c>
      <c r="L19" s="95"/>
    </row>
    <row r="20" spans="1:12" ht="12.75">
      <c r="A20" s="90" t="s">
        <v>203</v>
      </c>
      <c r="B20" s="91" t="s">
        <v>388</v>
      </c>
      <c r="C20" s="91" t="s">
        <v>190</v>
      </c>
      <c r="D20" s="91" t="s">
        <v>190</v>
      </c>
      <c r="E20" s="91"/>
      <c r="F20" s="60"/>
      <c r="G20" s="45" t="str">
        <f aca="true" t="shared" si="0" ref="G20:G30">IF(OR(F20="n/a",F20="na"),"",IF(ISBLANK(F20),"UNK",IF(F20="FAIL","FAIL",IF(F20="PASS","PASS","INVALID"))))</f>
        <v>UNK</v>
      </c>
      <c r="H20" s="94"/>
      <c r="I20" s="94"/>
      <c r="J20" s="94"/>
      <c r="K20" s="50"/>
      <c r="L20" s="95"/>
    </row>
    <row r="21" spans="1:12" ht="12.75">
      <c r="A21" s="90" t="s">
        <v>204</v>
      </c>
      <c r="B21" s="91" t="s">
        <v>388</v>
      </c>
      <c r="C21" s="91" t="s">
        <v>190</v>
      </c>
      <c r="D21" s="91" t="s">
        <v>190</v>
      </c>
      <c r="E21" s="91"/>
      <c r="F21" s="60"/>
      <c r="G21" s="45" t="str">
        <f t="shared" si="0"/>
        <v>UNK</v>
      </c>
      <c r="H21" s="94"/>
      <c r="I21" s="94"/>
      <c r="J21" s="94"/>
      <c r="K21" s="50"/>
      <c r="L21" s="95"/>
    </row>
    <row r="22" spans="1:12" ht="12.75">
      <c r="A22" s="90" t="s">
        <v>205</v>
      </c>
      <c r="B22" s="91" t="s">
        <v>388</v>
      </c>
      <c r="C22" s="91" t="s">
        <v>190</v>
      </c>
      <c r="D22" s="91" t="s">
        <v>190</v>
      </c>
      <c r="E22" s="91"/>
      <c r="F22" s="60"/>
      <c r="G22" s="45" t="str">
        <f t="shared" si="0"/>
        <v>UNK</v>
      </c>
      <c r="H22" s="60"/>
      <c r="I22" s="45" t="str">
        <f>IF(OR(H22="n/a",H22="na"),"",IF(ISBLANK(H22),"UNK",IF(H22="FAIL","FAIL",IF(H22="PASS","PASS","INVALID"))))</f>
        <v>UNK</v>
      </c>
      <c r="J22" s="94"/>
      <c r="K22" s="50"/>
      <c r="L22" s="95"/>
    </row>
    <row r="23" spans="1:12" ht="12.75">
      <c r="A23" s="90" t="s">
        <v>206</v>
      </c>
      <c r="B23" s="91" t="s">
        <v>388</v>
      </c>
      <c r="C23" s="91" t="s">
        <v>190</v>
      </c>
      <c r="D23" s="91" t="s">
        <v>190</v>
      </c>
      <c r="E23" s="91"/>
      <c r="F23" s="60"/>
      <c r="G23" s="45" t="str">
        <f t="shared" si="0"/>
        <v>UNK</v>
      </c>
      <c r="H23" s="61"/>
      <c r="I23" s="94"/>
      <c r="J23" s="94"/>
      <c r="K23" s="50"/>
      <c r="L23" s="95"/>
    </row>
    <row r="24" spans="1:12" ht="25.5">
      <c r="A24" s="90" t="s">
        <v>207</v>
      </c>
      <c r="B24" s="91" t="s">
        <v>388</v>
      </c>
      <c r="C24" s="91" t="s">
        <v>190</v>
      </c>
      <c r="D24" s="91" t="s">
        <v>190</v>
      </c>
      <c r="E24" s="91"/>
      <c r="F24" s="60"/>
      <c r="G24" s="45" t="str">
        <f t="shared" si="0"/>
        <v>UNK</v>
      </c>
      <c r="H24" s="60"/>
      <c r="I24" s="45" t="str">
        <f aca="true" t="shared" si="1" ref="I24:I29">IF(OR(H24="n/a",H24="na"),"",IF(ISBLANK(H24),"UNK",IF(H24="FAIL","FAIL",IF(H24="PASS","PASS","INVALID"))))</f>
        <v>UNK</v>
      </c>
      <c r="J24" s="94"/>
      <c r="K24" s="50"/>
      <c r="L24" s="95"/>
    </row>
    <row r="25" spans="1:12" ht="12.75">
      <c r="A25" s="90" t="s">
        <v>208</v>
      </c>
      <c r="B25" s="91" t="s">
        <v>388</v>
      </c>
      <c r="C25" s="91" t="s">
        <v>190</v>
      </c>
      <c r="D25" s="91" t="s">
        <v>190</v>
      </c>
      <c r="E25" s="91"/>
      <c r="F25" s="60"/>
      <c r="G25" s="45" t="str">
        <f t="shared" si="0"/>
        <v>UNK</v>
      </c>
      <c r="H25" s="60"/>
      <c r="I25" s="45" t="str">
        <f t="shared" si="1"/>
        <v>UNK</v>
      </c>
      <c r="J25" s="94"/>
      <c r="K25" s="50"/>
      <c r="L25" s="95"/>
    </row>
    <row r="26" spans="1:12" ht="12.75" customHeight="1">
      <c r="A26" s="90" t="s">
        <v>397</v>
      </c>
      <c r="B26" s="91" t="s">
        <v>388</v>
      </c>
      <c r="C26" s="91" t="s">
        <v>190</v>
      </c>
      <c r="D26" s="91" t="s">
        <v>190</v>
      </c>
      <c r="E26" s="91"/>
      <c r="F26" s="60"/>
      <c r="G26" s="45" t="str">
        <f t="shared" si="0"/>
        <v>UNK</v>
      </c>
      <c r="H26" s="60"/>
      <c r="I26" s="45" t="str">
        <f t="shared" si="1"/>
        <v>UNK</v>
      </c>
      <c r="J26" s="94"/>
      <c r="K26" s="50"/>
      <c r="L26" s="95"/>
    </row>
    <row r="27" spans="1:12" ht="12.75">
      <c r="A27" s="90" t="s">
        <v>209</v>
      </c>
      <c r="B27" s="91" t="s">
        <v>388</v>
      </c>
      <c r="C27" s="91" t="s">
        <v>190</v>
      </c>
      <c r="D27" s="91" t="s">
        <v>190</v>
      </c>
      <c r="E27" s="91"/>
      <c r="F27" s="60"/>
      <c r="G27" s="45" t="str">
        <f t="shared" si="0"/>
        <v>UNK</v>
      </c>
      <c r="H27" s="60"/>
      <c r="I27" s="45" t="str">
        <f t="shared" si="1"/>
        <v>UNK</v>
      </c>
      <c r="J27" s="94"/>
      <c r="K27" s="50"/>
      <c r="L27" s="95"/>
    </row>
    <row r="28" spans="1:12" ht="12.75">
      <c r="A28" s="90" t="s">
        <v>210</v>
      </c>
      <c r="B28" s="91" t="s">
        <v>388</v>
      </c>
      <c r="C28" s="91" t="s">
        <v>190</v>
      </c>
      <c r="D28" s="91" t="s">
        <v>190</v>
      </c>
      <c r="E28" s="91"/>
      <c r="F28" s="60"/>
      <c r="G28" s="45" t="str">
        <f t="shared" si="0"/>
        <v>UNK</v>
      </c>
      <c r="H28" s="60"/>
      <c r="I28" s="45" t="str">
        <f t="shared" si="1"/>
        <v>UNK</v>
      </c>
      <c r="J28" s="94"/>
      <c r="K28" s="50"/>
      <c r="L28" s="95"/>
    </row>
    <row r="29" spans="1:12" ht="12.75">
      <c r="A29" s="90" t="s">
        <v>211</v>
      </c>
      <c r="B29" s="91" t="s">
        <v>388</v>
      </c>
      <c r="C29" s="91" t="s">
        <v>190</v>
      </c>
      <c r="D29" s="91" t="s">
        <v>190</v>
      </c>
      <c r="E29" s="91"/>
      <c r="F29" s="60"/>
      <c r="G29" s="45" t="str">
        <f t="shared" si="0"/>
        <v>UNK</v>
      </c>
      <c r="H29" s="60"/>
      <c r="I29" s="45" t="str">
        <f t="shared" si="1"/>
        <v>UNK</v>
      </c>
      <c r="J29" s="94"/>
      <c r="K29" s="50"/>
      <c r="L29" s="95"/>
    </row>
    <row r="30" spans="1:12" ht="12.75">
      <c r="A30" s="90" t="s">
        <v>212</v>
      </c>
      <c r="B30" s="91" t="s">
        <v>388</v>
      </c>
      <c r="C30" s="91" t="s">
        <v>190</v>
      </c>
      <c r="D30" s="91" t="s">
        <v>190</v>
      </c>
      <c r="E30" s="91"/>
      <c r="F30" s="60"/>
      <c r="G30" s="45" t="str">
        <f t="shared" si="0"/>
        <v>UNK</v>
      </c>
      <c r="H30" s="94"/>
      <c r="I30" s="94"/>
      <c r="J30" s="94"/>
      <c r="K30" s="50"/>
      <c r="L30" s="95"/>
    </row>
    <row r="31" spans="1:12" ht="25.5">
      <c r="A31" s="90" t="s">
        <v>332</v>
      </c>
      <c r="B31" s="91" t="s">
        <v>399</v>
      </c>
      <c r="C31" s="91" t="s">
        <v>190</v>
      </c>
      <c r="D31" s="96">
        <v>10</v>
      </c>
      <c r="E31" s="96">
        <f>D31*0.1</f>
        <v>1</v>
      </c>
      <c r="F31" s="60"/>
      <c r="G31" s="45" t="str">
        <f>IF(OR(F31="na",F31="n/a"),"",IF(G$34="PASS",IF(ISBLANK(F31),"","FAIL"),IF(ISBLANK(F31),"UNK",IF(F31&lt;=$D31,"PASS","FAIL"))))</f>
        <v>UNK</v>
      </c>
      <c r="H31" s="60"/>
      <c r="I31" s="45" t="str">
        <f>IF(OR(H31="na",H31="n/a"),"",IF(I$34="PASS",IF(ISBLANK(H31),"","FAIL"),IF(ISBLANK(H31),"UNK",IF(H31&lt;=$D31,"PASS","FAIL"))))</f>
        <v>UNK</v>
      </c>
      <c r="J31" s="60"/>
      <c r="K31" s="45" t="str">
        <f>IF(OR(J31="na",J31="n/a"),"",IF(K$34="PASS",IF(ISBLANK(J31),"","FAIL"),IF(ISBLANK(J31),"UNK",IF(J31&lt;=$D31,"PASS","FAIL"))))</f>
        <v>UNK</v>
      </c>
      <c r="L31" s="95"/>
    </row>
    <row r="32" spans="1:12" ht="25.5">
      <c r="A32" s="90" t="s">
        <v>333</v>
      </c>
      <c r="B32" s="91" t="s">
        <v>400</v>
      </c>
      <c r="C32" s="91" t="s">
        <v>190</v>
      </c>
      <c r="D32" s="96">
        <v>10</v>
      </c>
      <c r="E32" s="96">
        <f>D32*0.1</f>
        <v>1</v>
      </c>
      <c r="F32" s="60"/>
      <c r="G32" s="45" t="str">
        <f>IF(OR(F32="na",F32="n/a"),"",IF(G$34="PASS",IF(ISBLANK(F32),"","FAIL"),IF(ISBLANK(F32),"UNK",IF(F32&lt;=$D32,"PASS","FAIL"))))</f>
        <v>UNK</v>
      </c>
      <c r="H32" s="60"/>
      <c r="I32" s="45" t="str">
        <f>IF(OR(H32="na",H32="n/a"),"",IF(I$34="PASS",IF(ISBLANK(H32),"","FAIL"),IF(ISBLANK(H32),"UNK",IF(H32&lt;=$D32,"PASS","FAIL"))))</f>
        <v>UNK</v>
      </c>
      <c r="J32" s="60"/>
      <c r="K32" s="45" t="str">
        <f>IF(OR(J32="na",J32="n/a"),"",IF(K$34="PASS",IF(ISBLANK(J32),"","FAIL"),IF(ISBLANK(J32),"UNK",IF(J32&lt;=$D32,"PASS","FAIL"))))</f>
        <v>UNK</v>
      </c>
      <c r="L32" s="95"/>
    </row>
    <row r="33" spans="1:12" ht="15" customHeight="1">
      <c r="A33" s="90" t="s">
        <v>334</v>
      </c>
      <c r="B33" s="91" t="s">
        <v>388</v>
      </c>
      <c r="C33" s="91" t="s">
        <v>190</v>
      </c>
      <c r="D33" s="91" t="s">
        <v>190</v>
      </c>
      <c r="E33" s="91"/>
      <c r="F33" s="60"/>
      <c r="G33" s="45" t="str">
        <f>IF(OR(F33="na",F33="n/a"),"",IF(G$34="PASS",IF(ISBLANK(F33),"","FAIL"),IF(ISBLANK(F33),"UNK",IF(F33="FAIL","FAIL",IF(F33="PASS","PASS","INVALID")))))</f>
        <v>UNK</v>
      </c>
      <c r="H33" s="60"/>
      <c r="I33" s="45" t="str">
        <f>IF(OR(H33="na",H33="n/a"),"",IF(I$34="PASS",IF(ISBLANK(H33),"","FAIL"),IF(ISBLANK(H33),"UNK",IF(H33="FAIL","FAIL",IF(H33="PASS","PASS","INVALID")))))</f>
        <v>UNK</v>
      </c>
      <c r="J33" s="60"/>
      <c r="K33" s="45" t="str">
        <f>IF(OR(J33="na",J33="n/a"),"",IF(K$34="PASS",IF(ISBLANK(J33),"","FAIL"),IF(ISBLANK(J33),"UNK",IF(J33="FAIL","FAIL",IF(J33="PASS","PASS","INVALID")))))</f>
        <v>UNK</v>
      </c>
      <c r="L33" s="95"/>
    </row>
    <row r="34" spans="1:12" ht="12.75">
      <c r="A34" s="90" t="s">
        <v>213</v>
      </c>
      <c r="B34" s="91" t="s">
        <v>388</v>
      </c>
      <c r="C34" s="91" t="s">
        <v>190</v>
      </c>
      <c r="D34" s="91" t="s">
        <v>190</v>
      </c>
      <c r="E34" s="91"/>
      <c r="F34" s="60"/>
      <c r="G34" s="45" t="str">
        <f>IF(OR(F34="na",F34="n/a"),"",IF(ISBLANK(F34),"UNK",IF(F34="FAIL","OK",IF(F34="PASS","PASS","INVALID"))))</f>
        <v>UNK</v>
      </c>
      <c r="H34" s="60"/>
      <c r="I34" s="45" t="str">
        <f>IF(OR(H34="na",H34="n/a"),"",IF(ISBLANK(H34),"UNK",IF(H34="FAIL","OK",IF(H34="PASS","PASS","INVALID"))))</f>
        <v>UNK</v>
      </c>
      <c r="J34" s="60"/>
      <c r="K34" s="45" t="str">
        <f>IF(OR(J34="na",J34="n/a"),"",IF(ISBLANK(J34),"UNK",IF(J34="FAIL","OK",IF(J34="PASS","PASS","INVALID"))))</f>
        <v>UNK</v>
      </c>
      <c r="L34" s="95" t="s">
        <v>378</v>
      </c>
    </row>
    <row r="35" spans="1:12" ht="12.75">
      <c r="A35" s="90" t="s">
        <v>214</v>
      </c>
      <c r="B35" s="91" t="s">
        <v>388</v>
      </c>
      <c r="C35" s="91" t="s">
        <v>190</v>
      </c>
      <c r="D35" s="91" t="s">
        <v>190</v>
      </c>
      <c r="E35" s="91"/>
      <c r="F35" s="60"/>
      <c r="G35" s="45" t="str">
        <f>IF(OR(F35="na",F35="n/a"),"",IF(G$34="PASS",IF(ISBLANK(F35),"","FAIL"),IF(ISBLANK(F35),"UNK",IF(F35="FAIL","FAIL",IF(F35="PASS","PASS","INVALID")))))</f>
        <v>UNK</v>
      </c>
      <c r="H35" s="60"/>
      <c r="I35" s="45" t="str">
        <f>IF(OR(H35="na",H35="n/a"),"",IF(I$34="PASS",IF(ISBLANK(H35),"","FAIL"),IF(ISBLANK(H35),"UNK",IF(H35="FAIL","FAIL",IF(H35="PASS","PASS","INVALID")))))</f>
        <v>UNK</v>
      </c>
      <c r="J35" s="60"/>
      <c r="K35" s="45" t="str">
        <f>IF(OR(J35="na",J35="n/a"),"",IF(K$34="PASS",IF(ISBLANK(J35),"","FAIL"),IF(ISBLANK(J35),"UNK",IF(J35="FAIL","FAIL",IF(J35="PASS","PASS","INVALID")))))</f>
        <v>UNK</v>
      </c>
      <c r="L35" s="95"/>
    </row>
    <row r="36" spans="1:12" ht="12.75">
      <c r="A36" s="90" t="s">
        <v>215</v>
      </c>
      <c r="B36" s="91" t="s">
        <v>388</v>
      </c>
      <c r="C36" s="91" t="s">
        <v>190</v>
      </c>
      <c r="D36" s="91" t="s">
        <v>190</v>
      </c>
      <c r="E36" s="91"/>
      <c r="F36" s="60"/>
      <c r="G36" s="45" t="str">
        <f>IF(OR(F36="na",F36="n/a"),"",IF(G$34="PASS",IF(ISBLANK(F36),"","FAIL"),IF(ISBLANK(F36),"UNK",IF(F36="FAIL","FAIL",IF(F36="PASS","PASS","INVALID")))))</f>
        <v>UNK</v>
      </c>
      <c r="H36" s="60"/>
      <c r="I36" s="45" t="str">
        <f>IF(OR(H36="na",H36="n/a"),"",IF(I$34="PASS",IF(ISBLANK(H36),"","FAIL"),IF(ISBLANK(H36),"UNK",IF(H36="FAIL","FAIL",IF(H36="PASS","PASS","INVALID")))))</f>
        <v>UNK</v>
      </c>
      <c r="J36" s="60"/>
      <c r="K36" s="45" t="str">
        <f>IF(OR(J36="na",J36="n/a"),"",IF(K$34="PASS",IF(ISBLANK(J36),"","FAIL"),IF(ISBLANK(J36),"UNK",IF(J36="FAIL","FAIL",IF(J36="PASS","PASS","INVALID")))))</f>
        <v>UNK</v>
      </c>
      <c r="L36" s="95"/>
    </row>
    <row r="37" spans="1:12" ht="13.5" customHeight="1">
      <c r="A37" s="90" t="s">
        <v>216</v>
      </c>
      <c r="B37" s="91" t="s">
        <v>388</v>
      </c>
      <c r="C37" s="91" t="s">
        <v>190</v>
      </c>
      <c r="D37" s="91" t="s">
        <v>190</v>
      </c>
      <c r="E37" s="91"/>
      <c r="F37" s="60"/>
      <c r="G37" s="45" t="str">
        <f>IF(OR(F37="na",F37="n/a"),"",IF(ISBLANK(F37),"UNK",IF(F37="FAIL","FAIL",IF(F37="PASS","PASS","INVALID"))))</f>
        <v>UNK</v>
      </c>
      <c r="H37" s="60"/>
      <c r="I37" s="45" t="str">
        <f>IF(OR(H37="na",H37="n/a"),"",IF(ISBLANK(H37),"UNK",IF(H37="FAIL","FAIL",IF(H37="PASS","PASS","INVALID"))))</f>
        <v>UNK</v>
      </c>
      <c r="J37" s="94"/>
      <c r="K37" s="50"/>
      <c r="L37" s="95"/>
    </row>
    <row r="38" spans="1:12" ht="25.5">
      <c r="A38" s="90" t="s">
        <v>335</v>
      </c>
      <c r="B38" s="91" t="s">
        <v>388</v>
      </c>
      <c r="C38" s="91" t="s">
        <v>190</v>
      </c>
      <c r="D38" s="96" t="s">
        <v>190</v>
      </c>
      <c r="E38" s="96"/>
      <c r="F38" s="60"/>
      <c r="G38" s="45" t="str">
        <f>IF(OR(F38="na",F38="n/a"),"",IF(ISBLANK(F38),"UNK",IF(F38="FAIL","FAIL",IF(F38="PASS","PASS","INVALID"))))</f>
        <v>UNK</v>
      </c>
      <c r="H38" s="60"/>
      <c r="I38" s="45" t="str">
        <f>IF(OR(H38="na",H38="n/a"),"",IF(ISBLANK(H38),"UNK",IF(H38="FAIL","FAIL",IF(H38="PASS","PASS","INVALID"))))</f>
        <v>UNK</v>
      </c>
      <c r="J38" s="94"/>
      <c r="K38" s="50"/>
      <c r="L38" s="95"/>
    </row>
    <row r="39" spans="1:12" ht="25.5">
      <c r="A39" s="90" t="s">
        <v>336</v>
      </c>
      <c r="B39" s="91" t="s">
        <v>399</v>
      </c>
      <c r="C39" s="91" t="s">
        <v>190</v>
      </c>
      <c r="D39" s="96">
        <v>10</v>
      </c>
      <c r="E39" s="96">
        <f>D39*0.1</f>
        <v>1</v>
      </c>
      <c r="F39" s="60"/>
      <c r="G39" s="45" t="str">
        <f>IF(OR(F39="na",F39="n/a"),"",IF(ISBLANK(F39),"UNK",IF(F39&lt;=$D39,"PASS","FAIL")))</f>
        <v>UNK</v>
      </c>
      <c r="H39" s="60"/>
      <c r="I39" s="45" t="str">
        <f>IF(OR(H39="na",H39="n/a"),"",IF(ISBLANK(H39),"UNK",IF(H39&lt;=$D39,"PASS","FAIL")))</f>
        <v>UNK</v>
      </c>
      <c r="J39" s="60"/>
      <c r="K39" s="45" t="str">
        <f>IF(OR(J39="na",J39="n/a"),"",IF(ISBLANK(J39),"UNK",IF(J39&lt;=$D39,"PASS","FAIL")))</f>
        <v>UNK</v>
      </c>
      <c r="L39" s="95"/>
    </row>
    <row r="40" spans="1:12" ht="25.5">
      <c r="A40" s="90" t="s">
        <v>337</v>
      </c>
      <c r="B40" s="91" t="s">
        <v>400</v>
      </c>
      <c r="C40" s="91" t="s">
        <v>190</v>
      </c>
      <c r="D40" s="96">
        <v>10</v>
      </c>
      <c r="E40" s="96">
        <f>D40*0.1</f>
        <v>1</v>
      </c>
      <c r="F40" s="60"/>
      <c r="G40" s="45" t="str">
        <f>IF(OR(F40="na",F40="n/a"),"",IF(ISBLANK(F40),"UNK",IF(F40&lt;=$D40,"PASS","FAIL")))</f>
        <v>UNK</v>
      </c>
      <c r="H40" s="60"/>
      <c r="I40" s="45" t="str">
        <f>IF(OR(H40="na",H40="n/a"),"",IF(ISBLANK(H40),"UNK",IF(H40&lt;=$D40,"PASS","FAIL")))</f>
        <v>UNK</v>
      </c>
      <c r="J40" s="60"/>
      <c r="K40" s="45" t="str">
        <f>IF(OR(J40="na",J40="n/a"),"",IF(ISBLANK(J40),"UNK",IF(J40&lt;=$D40,"PASS","FAIL")))</f>
        <v>UNK</v>
      </c>
      <c r="L40" s="95"/>
    </row>
    <row r="41" spans="1:12" ht="15" customHeight="1">
      <c r="A41" s="90" t="s">
        <v>338</v>
      </c>
      <c r="B41" s="91" t="s">
        <v>388</v>
      </c>
      <c r="C41" s="91" t="s">
        <v>190</v>
      </c>
      <c r="D41" s="91" t="s">
        <v>190</v>
      </c>
      <c r="E41" s="91"/>
      <c r="F41" s="60"/>
      <c r="G41" s="45" t="str">
        <f>IF(OR(F41="na",F41="n/a"),"",IF(ISBLANK(F41),"UNK",IF(F41="FAIL","FAIL",IF(F41="PASS","PASS","INVALID"))))</f>
        <v>UNK</v>
      </c>
      <c r="H41" s="60"/>
      <c r="I41" s="45" t="str">
        <f>IF(OR(H41="na",H41="n/a"),"",IF(ISBLANK(H41),"UNK",IF(H41="FAIL","FAIL",IF(H41="PASS","PASS","INVALID"))))</f>
        <v>UNK</v>
      </c>
      <c r="J41" s="60"/>
      <c r="K41" s="45" t="str">
        <f>IF(OR(J41="na",J41="n/a"),"",IF(ISBLANK(J41),"UNK",IF(J41="FAIL","FAIL",IF(J41="PASS","PASS","INVALID"))))</f>
        <v>UNK</v>
      </c>
      <c r="L41" s="95"/>
    </row>
    <row r="42" ht="12.75"/>
    <row r="43" ht="12.75"/>
  </sheetData>
  <sheetProtection/>
  <mergeCells count="2">
    <mergeCell ref="B3:C3"/>
    <mergeCell ref="B4:C4"/>
  </mergeCells>
  <conditionalFormatting sqref="I5 G5 I7:I11 G20:G41 G7:G18 I17:I18 K5 I22 I24:I29 I31:I41 K7:K41">
    <cfRule type="cellIs" priority="1" dxfId="8" operator="equal" stopIfTrue="1">
      <formula>"PASS"</formula>
    </cfRule>
    <cfRule type="cellIs" priority="2" dxfId="0" operator="equal" stopIfTrue="1">
      <formula>"FAIL"</formula>
    </cfRule>
    <cfRule type="cellIs" priority="3" dxfId="9" operator="equal" stopIfTrue="1">
      <formula>"MARGINAL"</formula>
    </cfRule>
  </conditionalFormatting>
  <conditionalFormatting sqref="J20:J30 H23:I23 J7:J16 H9:H11 F9:F11 H12:I16 H20:I21 H30:I30 H7 F7 J37:J38">
    <cfRule type="cellIs" priority="4" dxfId="6" operator="equal" stopIfTrue="1">
      <formula>ISBLANK</formula>
    </cfRule>
    <cfRule type="cellIs" priority="5" dxfId="4" operator="notEqual" stopIfTrue="1">
      <formula>"PASS"</formula>
    </cfRule>
  </conditionalFormatting>
  <conditionalFormatting sqref="J17">
    <cfRule type="cellIs" priority="6" dxfId="6" operator="equal" stopIfTrue="1">
      <formula>ISBLANK</formula>
    </cfRule>
    <cfRule type="cellIs" priority="7" dxfId="4" operator="greaterThan" stopIfTrue="1">
      <formula>$D17</formula>
    </cfRule>
    <cfRule type="cellIs" priority="8" dxfId="5" operator="greaterThan" stopIfTrue="1">
      <formula>$D17-$E17</formula>
    </cfRule>
  </conditionalFormatting>
  <conditionalFormatting sqref="J18">
    <cfRule type="cellIs" priority="9" dxfId="6" operator="equal" stopIfTrue="1">
      <formula>ISBLANK</formula>
    </cfRule>
    <cfRule type="cellIs" priority="10" dxfId="4" operator="lessThan" stopIfTrue="1">
      <formula>$C18</formula>
    </cfRule>
    <cfRule type="cellIs" priority="11" dxfId="5" operator="lessThan" stopIfTrue="1">
      <formula>$C18+$E18</formula>
    </cfRule>
  </conditionalFormatting>
  <conditionalFormatting sqref="F5 H5 J5">
    <cfRule type="cellIs" priority="12" dxfId="3" operator="equal" stopIfTrue="1">
      <formula>"COMPLETE"</formula>
    </cfRule>
    <cfRule type="cellIs" priority="13" dxfId="2" operator="equal" stopIfTrue="1">
      <formula>"INCOMPLETE"</formula>
    </cfRule>
  </conditionalFormatting>
  <conditionalFormatting sqref="H17:H18 F17:F18 F31:F32 F39:F40 J31:J32 J19 H39:H40 H31:H32 J39:J40">
    <cfRule type="expression" priority="14" dxfId="6" stopIfTrue="1">
      <formula>OR(ISBLANK(F17),F17="na",F17="n/a")</formula>
    </cfRule>
    <cfRule type="cellIs" priority="15" dxfId="4" operator="greaterThan" stopIfTrue="1">
      <formula>$D17</formula>
    </cfRule>
    <cfRule type="cellIs" priority="16" dxfId="5" operator="greaterThan" stopIfTrue="1">
      <formula>$D17-$E17</formula>
    </cfRule>
  </conditionalFormatting>
  <conditionalFormatting sqref="F8 F20:F30 F12:F16 H22 F33:F38 H41 H8 F41 H33:H38 J33:J36 J41 H24:H29">
    <cfRule type="cellIs" priority="17" dxfId="6" operator="equal" stopIfTrue="1">
      <formula>ISBLANK</formula>
    </cfRule>
    <cfRule type="expression" priority="18" dxfId="4" stopIfTrue="1">
      <formula>OR(F8="na",F8="n/a")</formula>
    </cfRule>
    <cfRule type="cellIs" priority="19" dxfId="4" operator="notEqual" stopIfTrue="1">
      <formula>"PASS"</formula>
    </cfRule>
  </conditionalFormatting>
  <dataValidations count="4">
    <dataValidation type="list" allowBlank="1" showInputMessage="1" showErrorMessage="1" promptTitle="BLANK, PASS or FAIL" prompt="Please leave cell blank or enter PASS or FAIL" errorTitle="Leave blank or use PASS or FAIL" error="Please leave blank or enter PASS or FAIL" sqref="F11 H7 H9:H11">
      <formula1>pass_fail</formula1>
    </dataValidation>
    <dataValidation type="whole" allowBlank="1" showInputMessage="1" showErrorMessage="1" promptTitle="Test ID" prompt="Enter valid test ID (minimum of 7, maximum of 9 decimal digits)" errorTitle="Enter Valid Test ID" error="Enter valid test ID (minimum of 7, maximum of 9 decimal digits)" sqref="B4:D4">
      <formula1>1000000</formula1>
      <formula2>199999999</formula2>
    </dataValidation>
    <dataValidation type="list" allowBlank="1" showInputMessage="1" showErrorMessage="1" promptTitle="PASS, FAIL or BLANK" prompt="Please leave cell blank or enter PASS or FAIL" errorTitle="Leave blank or use PASS or FAIL" error="Please leave blank or enter PASS or FAIL" sqref="F9:F10 F7">
      <formula1>pass_fail</formula1>
    </dataValidation>
    <dataValidation type="list" allowBlank="1" showInputMessage="1" showErrorMessage="1" promptTitle="PASS, FAIL, BLANK or na" prompt="Please enter PASS or FAIL or na for not applicable" errorTitle="PASS, FAIL, BLANK or na" error="Please enter PASS or FAIL or na for not applicable" sqref="F8 F12:F16 F20:F30 H8 H22 H24:H29 F41 H33:H38 F33:F38 H41 J33:J36 J41">
      <formula1>pass_fail_na</formula1>
    </dataValidation>
  </dataValidations>
  <printOptions/>
  <pageMargins left="0.5" right="0.5" top="0.5" bottom="0.75" header="0.5" footer="0.5"/>
  <pageSetup fitToHeight="1" fitToWidth="1" horizontalDpi="300" verticalDpi="300" orientation="landscape" scale="74" r:id="rId3"/>
  <headerFooter alignWithMargins="0">
    <oddFooter>&amp;L&amp;F / &amp;A&amp;Cpage &amp;P of &amp;N&amp;R&amp;D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workbookViewId="0" topLeftCell="A1">
      <selection activeCell="C4" sqref="C4:E4"/>
    </sheetView>
  </sheetViews>
  <sheetFormatPr defaultColWidth="9.140625" defaultRowHeight="12.75"/>
  <cols>
    <col min="1" max="1" width="12.7109375" style="32" customWidth="1"/>
    <col min="2" max="2" width="10.7109375" style="32" customWidth="1"/>
    <col min="3" max="3" width="6.421875" style="32" customWidth="1"/>
    <col min="4" max="4" width="9.28125" style="32" customWidth="1"/>
    <col min="5" max="5" width="9.421875" style="32" customWidth="1"/>
    <col min="6" max="6" width="10.28125" style="32" customWidth="1"/>
    <col min="7" max="7" width="6.421875" style="32" customWidth="1"/>
    <col min="8" max="8" width="9.28125" style="32" customWidth="1"/>
    <col min="9" max="9" width="9.421875" style="32" customWidth="1"/>
    <col min="10" max="10" width="10.28125" style="32" customWidth="1"/>
    <col min="11" max="11" width="6.421875" style="32" customWidth="1"/>
    <col min="12" max="12" width="9.28125" style="32" customWidth="1"/>
    <col min="13" max="13" width="9.421875" style="32" customWidth="1"/>
    <col min="14" max="14" width="10.28125" style="32" customWidth="1"/>
    <col min="15" max="15" width="6.421875" style="32" customWidth="1"/>
    <col min="16" max="16" width="9.28125" style="32" customWidth="1"/>
    <col min="17" max="17" width="9.421875" style="32" customWidth="1"/>
    <col min="18" max="18" width="10.28125" style="32" customWidth="1"/>
    <col min="19" max="19" width="6.421875" style="32" customWidth="1"/>
    <col min="20" max="20" width="9.28125" style="32" customWidth="1"/>
    <col min="21" max="21" width="9.421875" style="32" customWidth="1"/>
    <col min="22" max="22" width="10.28125" style="32" customWidth="1"/>
    <col min="23" max="23" width="17.7109375" style="32" customWidth="1"/>
    <col min="24" max="16384" width="8.8515625" style="32" customWidth="1"/>
  </cols>
  <sheetData>
    <row r="1" spans="1:5" ht="12.75">
      <c r="A1" s="143" t="s">
        <v>251</v>
      </c>
      <c r="E1" s="85" t="s">
        <v>403</v>
      </c>
    </row>
    <row r="2" spans="1:5" ht="12.75">
      <c r="A2" s="143"/>
      <c r="E2" s="85"/>
    </row>
    <row r="3" spans="1:20" ht="18" thickBot="1">
      <c r="A3" s="144" t="s">
        <v>54</v>
      </c>
      <c r="B3" s="144"/>
      <c r="C3" s="254"/>
      <c r="D3" s="254"/>
      <c r="E3" s="254"/>
      <c r="G3" s="144"/>
      <c r="H3" s="144"/>
      <c r="K3" s="144"/>
      <c r="L3" s="144"/>
      <c r="O3" s="144"/>
      <c r="P3" s="144"/>
      <c r="S3" s="144"/>
      <c r="T3" s="144"/>
    </row>
    <row r="4" spans="1:20" ht="18" thickBot="1">
      <c r="A4" s="144" t="s">
        <v>56</v>
      </c>
      <c r="B4" s="144"/>
      <c r="C4" s="256"/>
      <c r="D4" s="256"/>
      <c r="E4" s="256"/>
      <c r="G4" s="144"/>
      <c r="H4" s="144"/>
      <c r="K4" s="144"/>
      <c r="L4" s="144"/>
      <c r="O4" s="144"/>
      <c r="P4" s="144"/>
      <c r="S4" s="144"/>
      <c r="T4" s="144"/>
    </row>
    <row r="5" ht="12.75">
      <c r="A5" s="145"/>
    </row>
    <row r="6" spans="2:7" ht="12.75">
      <c r="B6" s="146" t="s">
        <v>252</v>
      </c>
      <c r="G6" s="146" t="s">
        <v>253</v>
      </c>
    </row>
    <row r="7" spans="1:17" ht="12.75">
      <c r="A7" s="132" t="s">
        <v>254</v>
      </c>
      <c r="B7" s="147" t="s">
        <v>255</v>
      </c>
      <c r="C7" s="148"/>
      <c r="D7" s="148"/>
      <c r="E7" s="148"/>
      <c r="F7" s="149"/>
      <c r="G7" s="150" t="s">
        <v>256</v>
      </c>
      <c r="H7" s="151"/>
      <c r="I7" s="151"/>
      <c r="J7" s="152"/>
      <c r="K7" s="153" t="s">
        <v>257</v>
      </c>
      <c r="L7" s="150"/>
      <c r="M7" s="151"/>
      <c r="N7" s="151"/>
      <c r="O7" s="151"/>
      <c r="P7" s="151"/>
      <c r="Q7" s="152"/>
    </row>
    <row r="8" spans="1:17" ht="12.75">
      <c r="A8" s="132" t="s">
        <v>258</v>
      </c>
      <c r="B8" s="147" t="s">
        <v>259</v>
      </c>
      <c r="C8" s="148"/>
      <c r="D8" s="148"/>
      <c r="E8" s="148"/>
      <c r="F8" s="149"/>
      <c r="G8" s="153" t="s">
        <v>260</v>
      </c>
      <c r="H8" s="153"/>
      <c r="I8" s="150"/>
      <c r="J8" s="152"/>
      <c r="K8" s="153" t="s">
        <v>257</v>
      </c>
      <c r="L8" s="150"/>
      <c r="M8" s="151"/>
      <c r="N8" s="151"/>
      <c r="O8" s="151"/>
      <c r="P8" s="151"/>
      <c r="Q8" s="152"/>
    </row>
    <row r="9" spans="1:17" ht="12.75">
      <c r="A9" s="132" t="s">
        <v>261</v>
      </c>
      <c r="B9" s="147" t="s">
        <v>262</v>
      </c>
      <c r="C9" s="148"/>
      <c r="D9" s="148"/>
      <c r="E9" s="148"/>
      <c r="F9" s="149"/>
      <c r="G9" s="153" t="s">
        <v>263</v>
      </c>
      <c r="H9" s="153"/>
      <c r="I9" s="150"/>
      <c r="J9" s="152"/>
      <c r="K9" s="153" t="s">
        <v>257</v>
      </c>
      <c r="L9" s="150"/>
      <c r="M9" s="151"/>
      <c r="N9" s="151"/>
      <c r="O9" s="151"/>
      <c r="P9" s="151"/>
      <c r="Q9" s="152"/>
    </row>
    <row r="10" spans="1:17" ht="12.75">
      <c r="A10" s="132" t="s">
        <v>264</v>
      </c>
      <c r="B10" s="147" t="s">
        <v>265</v>
      </c>
      <c r="C10" s="148"/>
      <c r="D10" s="148"/>
      <c r="E10" s="148"/>
      <c r="F10" s="149"/>
      <c r="G10" s="153" t="s">
        <v>266</v>
      </c>
      <c r="H10" s="153"/>
      <c r="I10" s="150"/>
      <c r="J10" s="152"/>
      <c r="K10" s="153" t="s">
        <v>257</v>
      </c>
      <c r="L10" s="150"/>
      <c r="M10" s="151"/>
      <c r="N10" s="151"/>
      <c r="O10" s="151"/>
      <c r="P10" s="151"/>
      <c r="Q10" s="152"/>
    </row>
    <row r="11" spans="1:17" ht="12.75">
      <c r="A11" s="132" t="s">
        <v>267</v>
      </c>
      <c r="B11" s="147" t="s">
        <v>268</v>
      </c>
      <c r="C11" s="148"/>
      <c r="D11" s="148"/>
      <c r="E11" s="148"/>
      <c r="F11" s="149"/>
      <c r="G11" s="153" t="s">
        <v>269</v>
      </c>
      <c r="H11" s="153"/>
      <c r="I11" s="150"/>
      <c r="J11" s="152"/>
      <c r="K11" s="153" t="s">
        <v>257</v>
      </c>
      <c r="L11" s="150"/>
      <c r="M11" s="151"/>
      <c r="N11" s="151"/>
      <c r="O11" s="151"/>
      <c r="P11" s="151"/>
      <c r="Q11" s="152"/>
    </row>
    <row r="13" spans="1:23" ht="12.75">
      <c r="A13" s="154" t="s">
        <v>270</v>
      </c>
      <c r="B13" s="155"/>
      <c r="C13" s="258" t="s">
        <v>271</v>
      </c>
      <c r="D13" s="258"/>
      <c r="E13" s="258"/>
      <c r="F13" s="259"/>
      <c r="G13" s="257" t="s">
        <v>272</v>
      </c>
      <c r="H13" s="258"/>
      <c r="I13" s="258"/>
      <c r="J13" s="259"/>
      <c r="K13" s="257" t="s">
        <v>273</v>
      </c>
      <c r="L13" s="258"/>
      <c r="M13" s="258"/>
      <c r="N13" s="259"/>
      <c r="O13" s="257" t="s">
        <v>274</v>
      </c>
      <c r="P13" s="258"/>
      <c r="Q13" s="258"/>
      <c r="R13" s="259"/>
      <c r="S13" s="257" t="s">
        <v>275</v>
      </c>
      <c r="T13" s="258"/>
      <c r="U13" s="258"/>
      <c r="V13" s="259"/>
      <c r="W13" s="32" t="s">
        <v>276</v>
      </c>
    </row>
    <row r="14" spans="1:22" ht="12.75">
      <c r="A14" s="156"/>
      <c r="B14" s="157" t="s">
        <v>277</v>
      </c>
      <c r="C14" s="158" t="s">
        <v>278</v>
      </c>
      <c r="D14" s="159" t="s">
        <v>279</v>
      </c>
      <c r="E14" s="160" t="s">
        <v>280</v>
      </c>
      <c r="F14" s="161" t="s">
        <v>281</v>
      </c>
      <c r="G14" s="159" t="s">
        <v>278</v>
      </c>
      <c r="H14" s="159" t="s">
        <v>279</v>
      </c>
      <c r="I14" s="160" t="s">
        <v>280</v>
      </c>
      <c r="J14" s="161" t="s">
        <v>281</v>
      </c>
      <c r="K14" s="159" t="s">
        <v>278</v>
      </c>
      <c r="L14" s="159" t="s">
        <v>279</v>
      </c>
      <c r="M14" s="160" t="s">
        <v>280</v>
      </c>
      <c r="N14" s="161" t="s">
        <v>281</v>
      </c>
      <c r="O14" s="159" t="s">
        <v>278</v>
      </c>
      <c r="P14" s="159" t="s">
        <v>279</v>
      </c>
      <c r="Q14" s="160" t="s">
        <v>280</v>
      </c>
      <c r="R14" s="161" t="s">
        <v>281</v>
      </c>
      <c r="S14" s="159" t="s">
        <v>278</v>
      </c>
      <c r="T14" s="159" t="s">
        <v>279</v>
      </c>
      <c r="U14" s="160" t="s">
        <v>280</v>
      </c>
      <c r="V14" s="161" t="s">
        <v>281</v>
      </c>
    </row>
    <row r="15" spans="1:22" s="132" customFormat="1" ht="12.75">
      <c r="A15" s="162"/>
      <c r="B15" s="45" t="str">
        <f>IF(AND(ISBLANK(C15),ISBLANK(G15),ISBLANK(K15),ISBLANK(O15),ISBLANK(S15)),"UNK",IF(SUM(COUNTIF(F15,"0"),COUNTIF(J15,"0"),COUNTIF(N15,"0"),COUNTIF(R15,"0"),COUNTIF(V15,"0"))&lt;2,"PASS","FAIL"))</f>
        <v>UNK</v>
      </c>
      <c r="C15" s="163"/>
      <c r="D15" s="164"/>
      <c r="E15" s="164"/>
      <c r="F15" s="165">
        <f>IF(E15,(D15/E15),0)</f>
        <v>0</v>
      </c>
      <c r="G15" s="166"/>
      <c r="H15" s="166"/>
      <c r="I15" s="166"/>
      <c r="J15" s="167">
        <f>IF(I15,(H15/I15),0)</f>
        <v>0</v>
      </c>
      <c r="K15" s="164"/>
      <c r="L15" s="164"/>
      <c r="M15" s="164"/>
      <c r="N15" s="165">
        <f>IF(M15,(L15/M15),0)</f>
        <v>0</v>
      </c>
      <c r="R15" s="121">
        <f>IF(Q15,(P15/Q15),0)</f>
        <v>0</v>
      </c>
      <c r="S15" s="166"/>
      <c r="T15" s="166"/>
      <c r="U15" s="166"/>
      <c r="V15" s="167">
        <f>IF(U15,(T15/U15),0)</f>
        <v>0</v>
      </c>
    </row>
  </sheetData>
  <sheetProtection/>
  <mergeCells count="7">
    <mergeCell ref="C4:E4"/>
    <mergeCell ref="C3:E3"/>
    <mergeCell ref="S13:V13"/>
    <mergeCell ref="C13:F13"/>
    <mergeCell ref="G13:J13"/>
    <mergeCell ref="K13:N13"/>
    <mergeCell ref="O13:R13"/>
  </mergeCells>
  <conditionalFormatting sqref="B15">
    <cfRule type="cellIs" priority="1" dxfId="8" operator="equal" stopIfTrue="1">
      <formula>"PASS"</formula>
    </cfRule>
    <cfRule type="cellIs" priority="2" dxfId="0" operator="equal" stopIfTrue="1">
      <formula>"FAIL"</formula>
    </cfRule>
    <cfRule type="cellIs" priority="3" dxfId="9" operator="equal" stopIfTrue="1">
      <formula>"MARGINAL"</formula>
    </cfRule>
  </conditionalFormatting>
  <dataValidations count="1">
    <dataValidation type="whole" allowBlank="1" showInputMessage="1" showErrorMessage="1" promptTitle="Test ID" prompt="Enter valid test ID (minimum of 7, maximum of 9 decimal digits)" errorTitle="Enter Valid Test ID" error="Enter valid test ID (minimum of 7, maximum of 9 decimal digits)" sqref="C4:E4">
      <formula1>1000000</formula1>
      <formula2>199999999</formula2>
    </dataValidation>
  </dataValidations>
  <printOptions/>
  <pageMargins left="0.5" right="0.5" top="0.5" bottom="0.75" header="0.5" footer="0.5"/>
  <pageSetup fitToHeight="1" fitToWidth="1" horizontalDpi="300" verticalDpi="300" orientation="landscape" scale="51" r:id="rId1"/>
  <headerFooter alignWithMargins="0">
    <oddFooter>&amp;L&amp;F / &amp;A&amp;CPage &amp;P of 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30.140625" style="15" customWidth="1"/>
    <col min="2" max="2" width="24.8515625" style="15" customWidth="1"/>
    <col min="3" max="3" width="8.8515625" style="15" customWidth="1"/>
    <col min="4" max="4" width="18.421875" style="15" customWidth="1"/>
    <col min="5" max="5" width="18.57421875" style="15" customWidth="1"/>
    <col min="6" max="6" width="16.00390625" style="15" hidden="1" customWidth="1"/>
    <col min="7" max="7" width="12.7109375" style="15" customWidth="1"/>
    <col min="8" max="8" width="18.28125" style="15" customWidth="1"/>
    <col min="9" max="9" width="29.7109375" style="15" customWidth="1"/>
    <col min="10" max="16384" width="8.8515625" style="15" customWidth="1"/>
  </cols>
  <sheetData>
    <row r="1" spans="1:3" ht="12.75">
      <c r="A1" s="99" t="s">
        <v>217</v>
      </c>
      <c r="C1" s="85" t="s">
        <v>403</v>
      </c>
    </row>
    <row r="2" ht="12.75"/>
    <row r="3" spans="1:7" ht="18.75" thickBot="1">
      <c r="A3" s="100" t="s">
        <v>54</v>
      </c>
      <c r="B3" s="196"/>
      <c r="C3" s="101"/>
      <c r="D3" s="102"/>
      <c r="E3" s="102"/>
      <c r="F3" s="102"/>
      <c r="G3" s="102"/>
    </row>
    <row r="4" spans="1:9" ht="21" customHeight="1" thickBot="1">
      <c r="A4" s="100" t="s">
        <v>218</v>
      </c>
      <c r="B4" s="197"/>
      <c r="C4" s="101"/>
      <c r="D4" s="198" t="s">
        <v>64</v>
      </c>
      <c r="E4" s="198" t="s">
        <v>65</v>
      </c>
      <c r="F4" s="198"/>
      <c r="G4" s="199" t="s">
        <v>219</v>
      </c>
      <c r="H4" s="34" t="str">
        <f>IF(COUNTIF(H7:H20,"UNK")&gt;0,"INCOMPLETE","COMPLETE")</f>
        <v>INCOMPLETE</v>
      </c>
      <c r="I4" s="106"/>
    </row>
    <row r="5" spans="1:9" ht="16.5" thickBot="1">
      <c r="A5" s="107"/>
      <c r="B5" s="108"/>
      <c r="C5" s="108"/>
      <c r="D5" s="109" t="s">
        <v>220</v>
      </c>
      <c r="E5" s="109" t="s">
        <v>220</v>
      </c>
      <c r="F5" s="110"/>
      <c r="G5" s="104" t="s">
        <v>220</v>
      </c>
      <c r="H5" s="70" t="str">
        <f>IF(COUNTIF(H7:H20,"FAIL")&gt;0,"FAIL",IF(COUNTIF(H7:H20,"PASS")&gt;0,"PASS","UNK"))</f>
        <v>UNK</v>
      </c>
      <c r="I5" s="15" t="s">
        <v>221</v>
      </c>
    </row>
    <row r="6" spans="1:9" ht="12.75">
      <c r="A6" s="111" t="s">
        <v>59</v>
      </c>
      <c r="B6" s="112" t="s">
        <v>222</v>
      </c>
      <c r="C6" s="113" t="s">
        <v>61</v>
      </c>
      <c r="D6" s="114"/>
      <c r="E6" s="114"/>
      <c r="F6" s="114" t="s">
        <v>223</v>
      </c>
      <c r="G6" s="115"/>
      <c r="H6" s="116" t="s">
        <v>224</v>
      </c>
      <c r="I6" s="15" t="s">
        <v>71</v>
      </c>
    </row>
    <row r="7" spans="1:9" ht="51">
      <c r="A7" s="117" t="s">
        <v>225</v>
      </c>
      <c r="B7" s="118" t="s">
        <v>226</v>
      </c>
      <c r="C7" s="119" t="s">
        <v>227</v>
      </c>
      <c r="D7" s="45">
        <v>0.12</v>
      </c>
      <c r="E7" s="45">
        <v>0.88</v>
      </c>
      <c r="F7" s="45">
        <f>(E7-D7)*0.1</f>
        <v>0.07600000000000001</v>
      </c>
      <c r="G7" s="120"/>
      <c r="H7" s="45" t="str">
        <f>IF(ISBLANK(G7),"UNK",IF(AND(G7&lt;=E7,G7&gt;=D7),"PASS","FAIL"))</f>
        <v>UNK</v>
      </c>
      <c r="I7" s="121"/>
    </row>
    <row r="8" spans="1:9" ht="51">
      <c r="A8" s="122"/>
      <c r="B8" s="123" t="s">
        <v>228</v>
      </c>
      <c r="C8" s="124" t="s">
        <v>227</v>
      </c>
      <c r="D8" s="45">
        <v>3.12</v>
      </c>
      <c r="E8" s="45">
        <v>3.88</v>
      </c>
      <c r="F8" s="45">
        <f>(E8-D8)*0.1</f>
        <v>0.07599999999999998</v>
      </c>
      <c r="G8" s="120"/>
      <c r="H8" s="45" t="str">
        <f>IF(ISBLANK(G8),"UNK",IF(AND(G8&lt;=E8,G8&gt;=D8),"PASS","FAIL"))</f>
        <v>UNK</v>
      </c>
      <c r="I8" s="121"/>
    </row>
    <row r="9" spans="1:9" ht="51">
      <c r="A9" s="125"/>
      <c r="B9" s="118" t="s">
        <v>229</v>
      </c>
      <c r="C9" s="119" t="s">
        <v>227</v>
      </c>
      <c r="D9" s="126"/>
      <c r="E9" s="126">
        <v>0.25</v>
      </c>
      <c r="F9" s="45">
        <f>E9*0.1</f>
        <v>0.025</v>
      </c>
      <c r="G9" s="120"/>
      <c r="H9" s="45" t="str">
        <f>IF(ISBLANK(G9),"UNK",IF(G9&lt;=E9,"PASS","FAIL"))</f>
        <v>UNK</v>
      </c>
      <c r="I9" s="121"/>
    </row>
    <row r="10" spans="1:9" ht="51">
      <c r="A10" s="125"/>
      <c r="B10" s="118" t="s">
        <v>230</v>
      </c>
      <c r="C10" s="119" t="s">
        <v>227</v>
      </c>
      <c r="D10" s="126">
        <v>4.42</v>
      </c>
      <c r="E10" s="126">
        <v>5.18</v>
      </c>
      <c r="F10" s="45">
        <f>(E10-D10)*0.1</f>
        <v>0.07599999999999998</v>
      </c>
      <c r="G10" s="120"/>
      <c r="H10" s="45" t="str">
        <f>IF(ISBLANK(G10),"UNK",IF(AND(G10&lt;=E10,G10&gt;=D10),"PASS","FAIL"))</f>
        <v>UNK</v>
      </c>
      <c r="I10" s="121"/>
    </row>
    <row r="11" spans="1:9" ht="51">
      <c r="A11" s="125"/>
      <c r="B11" s="118" t="s">
        <v>231</v>
      </c>
      <c r="C11" s="119" t="s">
        <v>227</v>
      </c>
      <c r="D11" s="126">
        <v>8.9</v>
      </c>
      <c r="E11" s="126">
        <v>9.9</v>
      </c>
      <c r="F11" s="45">
        <f>(E11-D11)*0.1</f>
        <v>0.1</v>
      </c>
      <c r="G11" s="120"/>
      <c r="H11" s="45" t="str">
        <f>IF(ISBLANK(G11),"UNK",IF(AND(G11&lt;=E11,G11&gt;=D11),"PASS","FAIL"))</f>
        <v>UNK</v>
      </c>
      <c r="I11" s="121"/>
    </row>
    <row r="12" spans="1:9" ht="51">
      <c r="A12" s="125"/>
      <c r="B12" s="118" t="s">
        <v>232</v>
      </c>
      <c r="C12" s="119" t="s">
        <v>227</v>
      </c>
      <c r="D12" s="126">
        <v>8.9</v>
      </c>
      <c r="E12" s="126">
        <v>9.9</v>
      </c>
      <c r="F12" s="45">
        <f>(E12-D12)*0.1</f>
        <v>0.1</v>
      </c>
      <c r="G12" s="120"/>
      <c r="H12" s="45" t="str">
        <f>IF(ISBLANK(G12),"UNK",IF(AND(G12&lt;=E12,G12&gt;=D12),"PASS","FAIL"))</f>
        <v>UNK</v>
      </c>
      <c r="I12" s="121"/>
    </row>
    <row r="13" spans="1:9" ht="25.5">
      <c r="A13" s="127" t="s">
        <v>233</v>
      </c>
      <c r="B13" s="118" t="s">
        <v>234</v>
      </c>
      <c r="C13" s="128" t="s">
        <v>227</v>
      </c>
      <c r="D13" s="129">
        <v>1.18</v>
      </c>
      <c r="E13" s="129">
        <v>1.28</v>
      </c>
      <c r="F13" s="45">
        <f>(E13-D13)*0.1</f>
        <v>0.010000000000000009</v>
      </c>
      <c r="G13" s="120"/>
      <c r="H13" s="45" t="str">
        <f>IF(ISBLANK(G13),"UNK",IF(AND(G13&lt;=E13,G13&gt;=D13),"PASS","FAIL"))</f>
        <v>UNK</v>
      </c>
      <c r="I13" s="121"/>
    </row>
    <row r="14" spans="1:9" ht="63.75">
      <c r="A14" s="125"/>
      <c r="B14" s="118" t="s">
        <v>235</v>
      </c>
      <c r="C14" s="128" t="s">
        <v>227</v>
      </c>
      <c r="D14" s="129">
        <v>1.5</v>
      </c>
      <c r="E14" s="129">
        <v>1.66</v>
      </c>
      <c r="F14" s="45">
        <f>(E14-D14)*0.1</f>
        <v>0.015999999999999993</v>
      </c>
      <c r="G14" s="120"/>
      <c r="H14" s="45" t="str">
        <f>IF(AND(NOT(ISBLANK(G14)),NOT(ISBLANK(G15))),"FAIL",IF(NOT(ISBLANK(G15)),"N/A",IF(ISBLANK(G14),"UNK",IF(AND(G14&lt;=E14,G14&gt;=D14),"PASS","FAIL"))))</f>
        <v>UNK</v>
      </c>
      <c r="I14" s="121"/>
    </row>
    <row r="15" spans="1:9" ht="51">
      <c r="A15" s="125"/>
      <c r="B15" s="118" t="s">
        <v>236</v>
      </c>
      <c r="C15" s="128" t="s">
        <v>227</v>
      </c>
      <c r="D15" s="130">
        <v>1.5</v>
      </c>
      <c r="E15" s="130"/>
      <c r="F15" s="45">
        <v>0.15</v>
      </c>
      <c r="G15" s="120"/>
      <c r="H15" s="45" t="str">
        <f>IF(AND(NOT(ISBLANK(G14)),NOT(ISBLANK(G15))),"FAIL",IF(NOT(ISBLANK(G14)),"N/A",IF(ISBLANK(G15),"UNK",IF(G15&gt;=D15,"PASS","FAIL"))))</f>
        <v>UNK</v>
      </c>
      <c r="I15" s="121"/>
    </row>
    <row r="16" spans="1:9" ht="38.25">
      <c r="A16" s="125"/>
      <c r="B16" s="118" t="s">
        <v>237</v>
      </c>
      <c r="C16" s="128" t="s">
        <v>227</v>
      </c>
      <c r="D16" s="129">
        <v>33.31</v>
      </c>
      <c r="E16" s="129">
        <v>33.47</v>
      </c>
      <c r="F16" s="45">
        <f>(E16-D16)*0.1</f>
        <v>0.01599999999999966</v>
      </c>
      <c r="G16" s="120"/>
      <c r="H16" s="45" t="str">
        <f>IF(ISBLANK(G16),"UNK",IF(AND(G16&lt;=E16,G16&gt;=D16),"PASS","FAIL"))</f>
        <v>UNK</v>
      </c>
      <c r="I16" s="121"/>
    </row>
    <row r="17" spans="1:9" ht="38.25">
      <c r="A17" s="125"/>
      <c r="B17" s="118" t="s">
        <v>238</v>
      </c>
      <c r="C17" s="128" t="s">
        <v>227</v>
      </c>
      <c r="D17" s="129">
        <v>2.36</v>
      </c>
      <c r="E17" s="129">
        <v>2.46</v>
      </c>
      <c r="F17" s="45">
        <f>(E17-D17)*0.1</f>
        <v>0.010000000000000009</v>
      </c>
      <c r="G17" s="120"/>
      <c r="H17" s="45" t="str">
        <f>IF(ISBLANK(G17),"UNK",IF(AND(G17&lt;=E17,G17&gt;=D17),"PASS","FAIL"))</f>
        <v>UNK</v>
      </c>
      <c r="I17" s="121"/>
    </row>
    <row r="18" spans="1:9" ht="25.5">
      <c r="A18" s="127" t="s">
        <v>239</v>
      </c>
      <c r="B18" s="118" t="s">
        <v>234</v>
      </c>
      <c r="C18" s="128" t="s">
        <v>227</v>
      </c>
      <c r="D18" s="129">
        <v>1.18</v>
      </c>
      <c r="E18" s="129">
        <v>1.28</v>
      </c>
      <c r="F18" s="45">
        <f>(E18-D18)*0.1</f>
        <v>0.010000000000000009</v>
      </c>
      <c r="G18" s="120"/>
      <c r="H18" s="45" t="str">
        <f>IF(ISBLANK(G18),"UNK",IF(AND(G18&lt;=E18,G18&gt;=D18),"PASS","FAIL"))</f>
        <v>UNK</v>
      </c>
      <c r="I18" s="121"/>
    </row>
    <row r="19" spans="1:9" ht="63.75">
      <c r="A19" s="125"/>
      <c r="B19" s="118" t="s">
        <v>240</v>
      </c>
      <c r="C19" s="128" t="s">
        <v>227</v>
      </c>
      <c r="D19" s="129">
        <v>1.5</v>
      </c>
      <c r="E19" s="129">
        <v>1.66</v>
      </c>
      <c r="F19" s="45">
        <f>(E19-D19)*0.1</f>
        <v>0.015999999999999993</v>
      </c>
      <c r="G19" s="120"/>
      <c r="H19" s="45" t="str">
        <f>IF(AND(NOT(ISBLANK(G19)),NOT(ISBLANK(G20))),"FAIL",IF(NOT(ISBLANK(G20)),"N/A",IF(ISBLANK(G19),"UNK",IF(AND(G19&lt;=E19,G19&gt;=D19),"PASS","FAIL"))))</f>
        <v>UNK</v>
      </c>
      <c r="I19" s="121"/>
    </row>
    <row r="20" spans="1:9" ht="51">
      <c r="A20" s="131"/>
      <c r="B20" s="118" t="s">
        <v>236</v>
      </c>
      <c r="C20" s="128" t="s">
        <v>227</v>
      </c>
      <c r="D20" s="129">
        <v>1.5</v>
      </c>
      <c r="E20" s="129"/>
      <c r="F20" s="45">
        <f>D20*0.1</f>
        <v>0.15000000000000002</v>
      </c>
      <c r="G20" s="120"/>
      <c r="H20" s="45" t="str">
        <f>IF(AND(NOT(ISBLANK(G19)),NOT(ISBLANK(G20))),"FAIL",IF(NOT(ISBLANK(G19)),"N/A",IF(ISBLANK(G20),"UNK",IF(G20&gt;=D20,"PASS","FAIL"))))</f>
        <v>UNK</v>
      </c>
      <c r="I20" s="121"/>
    </row>
    <row r="30" ht="12.75"/>
    <row r="31" ht="12.75"/>
    <row r="32" ht="12.75"/>
    <row r="36" ht="12.75"/>
    <row r="37" ht="12.75"/>
    <row r="38" ht="12.75"/>
    <row r="39" ht="12.75"/>
    <row r="52" ht="12.75"/>
    <row r="53" ht="12.75"/>
    <row r="54" ht="12.75"/>
    <row r="55" ht="12.75"/>
    <row r="65" ht="12.75"/>
    <row r="66" ht="12.75"/>
    <row r="67" ht="12.75"/>
    <row r="72" ht="12.75"/>
    <row r="73" ht="12.75"/>
    <row r="74" ht="12.75"/>
    <row r="81" ht="12.75"/>
    <row r="82" ht="12.75"/>
    <row r="83" ht="12.75"/>
    <row r="87" ht="12.75"/>
    <row r="88" ht="12.75"/>
    <row r="89" ht="12.75"/>
    <row r="90" ht="12.75"/>
    <row r="103" ht="12.75"/>
    <row r="104" ht="12.75"/>
    <row r="105" ht="12.75"/>
    <row r="106" ht="12.75"/>
  </sheetData>
  <sheetProtection/>
  <conditionalFormatting sqref="G7:G8 G10:G14 G16:G19">
    <cfRule type="cellIs" priority="1" dxfId="6" operator="equal" stopIfTrue="1">
      <formula>ISBLANK</formula>
    </cfRule>
    <cfRule type="cellIs" priority="2" dxfId="4" operator="notBetween" stopIfTrue="1">
      <formula>$D7</formula>
      <formula>$E7</formula>
    </cfRule>
    <cfRule type="cellIs" priority="3" dxfId="5" operator="notBetween" stopIfTrue="1">
      <formula>$D7+$F7</formula>
      <formula>$E7-$F7</formula>
    </cfRule>
  </conditionalFormatting>
  <conditionalFormatting sqref="G20 G15">
    <cfRule type="cellIs" priority="4" dxfId="6" operator="equal" stopIfTrue="1">
      <formula>ISBLANK</formula>
    </cfRule>
    <cfRule type="cellIs" priority="5" dxfId="4" operator="lessThan" stopIfTrue="1">
      <formula>$D15</formula>
    </cfRule>
    <cfRule type="cellIs" priority="6" dxfId="5" operator="lessThan" stopIfTrue="1">
      <formula>$D15+$F15</formula>
    </cfRule>
  </conditionalFormatting>
  <conditionalFormatting sqref="G9">
    <cfRule type="cellIs" priority="7" dxfId="6" operator="equal" stopIfTrue="1">
      <formula>ISBLANK</formula>
    </cfRule>
    <cfRule type="cellIs" priority="8" dxfId="4" operator="greaterThan" stopIfTrue="1">
      <formula>$E9</formula>
    </cfRule>
    <cfRule type="cellIs" priority="9" dxfId="5" operator="greaterThan" stopIfTrue="1">
      <formula>$E9-$F9</formula>
    </cfRule>
  </conditionalFormatting>
  <conditionalFormatting sqref="H5 H7:H20">
    <cfRule type="cellIs" priority="10" dxfId="8" operator="equal" stopIfTrue="1">
      <formula>"PASS"</formula>
    </cfRule>
    <cfRule type="cellIs" priority="11" dxfId="0" operator="equal" stopIfTrue="1">
      <formula>"FAIL"</formula>
    </cfRule>
    <cfRule type="cellIs" priority="12" dxfId="9" operator="equal" stopIfTrue="1">
      <formula>"MARGINAL"</formula>
    </cfRule>
  </conditionalFormatting>
  <conditionalFormatting sqref="H4">
    <cfRule type="cellIs" priority="13" dxfId="3" operator="equal" stopIfTrue="1">
      <formula>"COMPLETE"</formula>
    </cfRule>
    <cfRule type="cellIs" priority="14" dxfId="2" operator="equal" stopIfTrue="1">
      <formula>"INCOMPLETE"</formula>
    </cfRule>
  </conditionalFormatting>
  <dataValidations count="1">
    <dataValidation type="custom" allowBlank="1" showInputMessage="1" showErrorMessage="1" promptTitle="Test ID" prompt="Enter valid test ID (minimum of 7, maximum of 9 decimal digits)" errorTitle="Enter Valid Test ID" error="Enter valid test ID (minimum of 7, maximum of 9 decimal digits)" sqref="B4">
      <formula1>AND(NOT(COUNTIF(B4,"*testid*")&gt;0),B4&gt;=1000000,B4&lt;=199999999)</formula1>
    </dataValidation>
  </dataValidations>
  <printOptions/>
  <pageMargins left="0.5" right="0.5" top="0.5" bottom="0.75" header="0.5" footer="0.5"/>
  <pageSetup horizontalDpi="300" verticalDpi="300" orientation="landscape" scale="65" r:id="rId3"/>
  <headerFooter alignWithMargins="0">
    <oddFooter>&amp;L&amp;F / &amp;A&amp;CPage &amp;P of &amp;N&amp;R&amp;D 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31.57421875" style="15" bestFit="1" customWidth="1"/>
    <col min="2" max="2" width="24.28125" style="15" customWidth="1"/>
    <col min="3" max="3" width="8.8515625" style="15" customWidth="1"/>
    <col min="4" max="5" width="18.140625" style="15" customWidth="1"/>
    <col min="6" max="6" width="16.00390625" style="15" hidden="1" customWidth="1"/>
    <col min="7" max="7" width="12.7109375" style="15" customWidth="1"/>
    <col min="8" max="8" width="13.7109375" style="15" customWidth="1"/>
    <col min="9" max="9" width="30.57421875" style="15" customWidth="1"/>
    <col min="10" max="16384" width="8.8515625" style="15" customWidth="1"/>
  </cols>
  <sheetData>
    <row r="1" spans="1:3" ht="12.75">
      <c r="A1" s="99" t="s">
        <v>217</v>
      </c>
      <c r="C1" s="85" t="s">
        <v>403</v>
      </c>
    </row>
    <row r="2" ht="12.75"/>
    <row r="3" spans="1:8" ht="18.75" thickBot="1">
      <c r="A3" s="100" t="s">
        <v>54</v>
      </c>
      <c r="B3" s="196"/>
      <c r="C3" s="102"/>
      <c r="D3" s="102"/>
      <c r="E3" s="102"/>
      <c r="F3" s="102"/>
      <c r="G3" s="102"/>
      <c r="H3" s="102"/>
    </row>
    <row r="4" spans="1:8" ht="18" customHeight="1" thickBot="1">
      <c r="A4" s="200" t="s">
        <v>218</v>
      </c>
      <c r="B4" s="197"/>
      <c r="C4" s="202"/>
      <c r="D4" s="198" t="s">
        <v>64</v>
      </c>
      <c r="E4" s="198" t="s">
        <v>65</v>
      </c>
      <c r="F4" s="103"/>
      <c r="G4" s="199" t="s">
        <v>219</v>
      </c>
      <c r="H4" s="34" t="str">
        <f>IF(COUNTIF(H7:H20,"UNK")&gt;0,"INCOMPLETE","COMPLETE")</f>
        <v>INCOMPLETE</v>
      </c>
    </row>
    <row r="5" spans="1:9" ht="15" customHeight="1" thickBot="1">
      <c r="A5" s="201"/>
      <c r="B5" s="203"/>
      <c r="C5" s="204"/>
      <c r="D5" s="205" t="s">
        <v>241</v>
      </c>
      <c r="E5" s="205" t="s">
        <v>241</v>
      </c>
      <c r="F5" s="110"/>
      <c r="G5" s="205" t="s">
        <v>241</v>
      </c>
      <c r="H5" s="70" t="str">
        <f>IF(COUNTIF(H7:H20,"FAIL")&gt;0,"FAIL",IF(COUNTIF(H7:H20,"PASS")&gt;0,"PASS","UNK"))</f>
        <v>UNK</v>
      </c>
      <c r="I5" s="15" t="s">
        <v>242</v>
      </c>
    </row>
    <row r="6" spans="1:9" ht="12.75">
      <c r="A6" s="111" t="s">
        <v>59</v>
      </c>
      <c r="B6" s="112" t="s">
        <v>222</v>
      </c>
      <c r="C6" s="113" t="s">
        <v>61</v>
      </c>
      <c r="D6" s="114"/>
      <c r="E6" s="114"/>
      <c r="F6" s="114" t="s">
        <v>223</v>
      </c>
      <c r="G6" s="115"/>
      <c r="H6" s="116" t="s">
        <v>224</v>
      </c>
      <c r="I6" s="15" t="s">
        <v>71</v>
      </c>
    </row>
    <row r="7" spans="1:9" ht="51">
      <c r="A7" s="117" t="s">
        <v>225</v>
      </c>
      <c r="B7" s="118" t="s">
        <v>243</v>
      </c>
      <c r="C7" s="119" t="s">
        <v>227</v>
      </c>
      <c r="D7" s="45">
        <v>2.47</v>
      </c>
      <c r="E7" s="45">
        <v>3.23</v>
      </c>
      <c r="F7" s="45">
        <f>(E7-D7)*0.1</f>
        <v>0.07599999999999998</v>
      </c>
      <c r="G7" s="120"/>
      <c r="H7" s="45" t="str">
        <f>IF(ISBLANK(G7),"UNK",IF(AND(G7&lt;=E7,G7&gt;=D7),"PASS","FAIL"))</f>
        <v>UNK</v>
      </c>
      <c r="I7" s="132"/>
    </row>
    <row r="8" spans="1:9" ht="51">
      <c r="A8" s="122"/>
      <c r="B8" s="123" t="s">
        <v>228</v>
      </c>
      <c r="C8" s="124" t="s">
        <v>227</v>
      </c>
      <c r="D8" s="45">
        <v>3.12</v>
      </c>
      <c r="E8" s="45">
        <v>3.88</v>
      </c>
      <c r="F8" s="45">
        <f>(E8-D8)*0.1</f>
        <v>0.07599999999999998</v>
      </c>
      <c r="G8" s="120"/>
      <c r="H8" s="45" t="str">
        <f>IF(ISBLANK(G8),"UNK",IF(AND(G8&lt;=E8,G8&gt;=D8),"PASS","FAIL"))</f>
        <v>UNK</v>
      </c>
      <c r="I8" s="132"/>
    </row>
    <row r="9" spans="1:9" ht="63.75">
      <c r="A9" s="125"/>
      <c r="B9" s="118" t="s">
        <v>229</v>
      </c>
      <c r="C9" s="119" t="s">
        <v>227</v>
      </c>
      <c r="D9" s="45"/>
      <c r="E9" s="45">
        <v>0.25</v>
      </c>
      <c r="F9" s="45">
        <f>E9*0.1</f>
        <v>0.025</v>
      </c>
      <c r="G9" s="120"/>
      <c r="H9" s="45" t="str">
        <f>IF(ISBLANK(G9),"UNK",IF(G9&lt;=E9,"PASS","FAIL"))</f>
        <v>UNK</v>
      </c>
      <c r="I9" s="132"/>
    </row>
    <row r="10" spans="1:9" ht="51">
      <c r="A10" s="125"/>
      <c r="B10" s="118" t="s">
        <v>230</v>
      </c>
      <c r="C10" s="119" t="s">
        <v>227</v>
      </c>
      <c r="D10" s="45">
        <v>20.3</v>
      </c>
      <c r="E10" s="45">
        <v>21.06</v>
      </c>
      <c r="F10" s="45">
        <f>(E10-D10)*0.1</f>
        <v>0.0759999999999998</v>
      </c>
      <c r="G10" s="120"/>
      <c r="H10" s="45" t="str">
        <f>IF(ISBLANK(G10),"UNK",IF(AND(G10&lt;=E10,G10&gt;=D10),"PASS","FAIL"))</f>
        <v>UNK</v>
      </c>
      <c r="I10" s="132"/>
    </row>
    <row r="11" spans="1:9" ht="51">
      <c r="A11" s="125"/>
      <c r="B11" s="118" t="s">
        <v>231</v>
      </c>
      <c r="C11" s="119" t="s">
        <v>227</v>
      </c>
      <c r="D11" s="45">
        <v>23.1</v>
      </c>
      <c r="E11" s="45">
        <v>24.1</v>
      </c>
      <c r="F11" s="45">
        <f>(E11-D11)*0.1</f>
        <v>0.1</v>
      </c>
      <c r="G11" s="120"/>
      <c r="H11" s="45" t="str">
        <f>IF(ISBLANK(G11),"UNK",IF(AND(G11&lt;=E11,G11&gt;=D11),"PASS","FAIL"))</f>
        <v>UNK</v>
      </c>
      <c r="I11" s="132"/>
    </row>
    <row r="12" spans="1:9" ht="51">
      <c r="A12" s="125"/>
      <c r="B12" s="118" t="s">
        <v>232</v>
      </c>
      <c r="C12" s="119" t="s">
        <v>227</v>
      </c>
      <c r="D12" s="45">
        <v>35.88</v>
      </c>
      <c r="E12" s="45">
        <v>36.88</v>
      </c>
      <c r="F12" s="45">
        <f>(E12-D12)*0.1</f>
        <v>0.1</v>
      </c>
      <c r="G12" s="120"/>
      <c r="H12" s="45" t="str">
        <f>IF(ISBLANK(G12),"UNK",IF(AND(G12&lt;=E12,G12&gt;=D12),"PASS","FAIL"))</f>
        <v>UNK</v>
      </c>
      <c r="I12" s="132"/>
    </row>
    <row r="13" spans="1:9" ht="25.5">
      <c r="A13" s="127" t="s">
        <v>233</v>
      </c>
      <c r="B13" s="118" t="s">
        <v>234</v>
      </c>
      <c r="C13" s="128" t="s">
        <v>227</v>
      </c>
      <c r="D13" s="133">
        <v>1.18</v>
      </c>
      <c r="E13" s="133">
        <v>1.28</v>
      </c>
      <c r="F13" s="45">
        <f>(E13-D13)*0.1</f>
        <v>0.010000000000000009</v>
      </c>
      <c r="G13" s="120"/>
      <c r="H13" s="45" t="str">
        <f>IF(ISBLANK(G13),"UNK",IF(AND(G13&lt;=E13,G13&gt;=D13),"PASS","FAIL"))</f>
        <v>UNK</v>
      </c>
      <c r="I13" s="132"/>
    </row>
    <row r="14" spans="1:9" ht="63.75">
      <c r="A14" s="125"/>
      <c r="B14" s="118" t="s">
        <v>235</v>
      </c>
      <c r="C14" s="128" t="s">
        <v>227</v>
      </c>
      <c r="D14" s="133">
        <v>1.5</v>
      </c>
      <c r="E14" s="133">
        <v>1.66</v>
      </c>
      <c r="F14" s="45">
        <f>(E14-D14)*0.1</f>
        <v>0.015999999999999993</v>
      </c>
      <c r="G14" s="120"/>
      <c r="H14" s="45" t="str">
        <f>IF(AND(NOT(ISBLANK(G14)),NOT(ISBLANK(G15))),"FAIL",IF(NOT(ISBLANK(G15)),"N/A",IF(ISBLANK(G14),"UNK",IF(AND(G14&lt;=E14,G14&gt;=D14),"PASS","FAIL"))))</f>
        <v>UNK</v>
      </c>
      <c r="I14" s="132"/>
    </row>
    <row r="15" spans="1:9" ht="51">
      <c r="A15" s="125"/>
      <c r="B15" s="118" t="s">
        <v>236</v>
      </c>
      <c r="C15" s="128" t="s">
        <v>227</v>
      </c>
      <c r="D15" s="133">
        <v>1.5</v>
      </c>
      <c r="E15" s="133"/>
      <c r="F15" s="45">
        <f>D15*0.1</f>
        <v>0.15000000000000002</v>
      </c>
      <c r="G15" s="120"/>
      <c r="H15" s="45" t="str">
        <f>IF(AND(NOT(ISBLANK(G14)),NOT(ISBLANK(G15))),"FAIL",IF(NOT(ISBLANK(G14)),"N/A",IF(ISBLANK(G15),"UNK",IF(G15&gt;=D15,"PASS","FAIL"))))</f>
        <v>UNK</v>
      </c>
      <c r="I15" s="132"/>
    </row>
    <row r="16" spans="1:9" ht="38.25">
      <c r="A16" s="125"/>
      <c r="B16" s="118" t="s">
        <v>237</v>
      </c>
      <c r="C16" s="128" t="s">
        <v>227</v>
      </c>
      <c r="D16" s="133">
        <v>33.31</v>
      </c>
      <c r="E16" s="133">
        <v>33.47</v>
      </c>
      <c r="F16" s="45">
        <f>(E16-D16)*0.1</f>
        <v>0.01599999999999966</v>
      </c>
      <c r="G16" s="120"/>
      <c r="H16" s="45" t="str">
        <f>IF(ISBLANK(G16),"UNK",IF(AND(G16&lt;=E16,G16&gt;=D16),"PASS","FAIL"))</f>
        <v>UNK</v>
      </c>
      <c r="I16" s="132"/>
    </row>
    <row r="17" spans="1:9" ht="38.25">
      <c r="A17" s="125"/>
      <c r="B17" s="118" t="s">
        <v>238</v>
      </c>
      <c r="C17" s="128" t="s">
        <v>227</v>
      </c>
      <c r="D17" s="133">
        <v>2.36</v>
      </c>
      <c r="E17" s="133">
        <v>2.46</v>
      </c>
      <c r="F17" s="45">
        <f>(E17-D17)*0.1</f>
        <v>0.010000000000000009</v>
      </c>
      <c r="G17" s="120"/>
      <c r="H17" s="45" t="str">
        <f>IF(ISBLANK(G17),"UNK",IF(AND(G17&lt;=E17,G17&gt;=D17),"PASS","FAIL"))</f>
        <v>UNK</v>
      </c>
      <c r="I17" s="132"/>
    </row>
    <row r="18" spans="1:9" ht="25.5">
      <c r="A18" s="127" t="s">
        <v>239</v>
      </c>
      <c r="B18" s="118" t="s">
        <v>234</v>
      </c>
      <c r="C18" s="128" t="s">
        <v>227</v>
      </c>
      <c r="D18" s="133">
        <v>1.18</v>
      </c>
      <c r="E18" s="133">
        <v>1.28</v>
      </c>
      <c r="F18" s="45">
        <f>(E18-D18)*0.1</f>
        <v>0.010000000000000009</v>
      </c>
      <c r="G18" s="120"/>
      <c r="H18" s="45" t="str">
        <f>IF(ISBLANK(G18),"UNK",IF(AND(G18&lt;=E18,G18&gt;=D18),"PASS","FAIL"))</f>
        <v>UNK</v>
      </c>
      <c r="I18" s="132"/>
    </row>
    <row r="19" spans="1:9" ht="63.75">
      <c r="A19" s="125"/>
      <c r="B19" s="118" t="s">
        <v>240</v>
      </c>
      <c r="C19" s="128" t="s">
        <v>227</v>
      </c>
      <c r="D19" s="133">
        <v>1.5</v>
      </c>
      <c r="E19" s="133">
        <v>1.66</v>
      </c>
      <c r="F19" s="45">
        <f>(E19-D19)*0.1</f>
        <v>0.015999999999999993</v>
      </c>
      <c r="G19" s="120"/>
      <c r="H19" s="45" t="str">
        <f>IF(AND(NOT(ISBLANK(G19)),NOT(ISBLANK(G20))),"FAIL",IF(NOT(ISBLANK(G20)),"N/A",IF(ISBLANK(G19),"UNK",IF(AND(G19&lt;=E19,G19&gt;=D19),"PASS","FAIL"))))</f>
        <v>UNK</v>
      </c>
      <c r="I19" s="132"/>
    </row>
    <row r="20" spans="1:9" ht="51">
      <c r="A20" s="131"/>
      <c r="B20" s="118" t="s">
        <v>236</v>
      </c>
      <c r="C20" s="128" t="s">
        <v>227</v>
      </c>
      <c r="D20" s="133">
        <v>1.5</v>
      </c>
      <c r="E20" s="133"/>
      <c r="F20" s="45">
        <f>D20*0.1</f>
        <v>0.15000000000000002</v>
      </c>
      <c r="G20" s="120"/>
      <c r="H20" s="45" t="str">
        <f>IF(AND(NOT(ISBLANK(G19)),NOT(ISBLANK(G20))),"FAIL",IF(NOT(ISBLANK(G19)),"N/A",IF(ISBLANK(G20),"UNK",IF(G20&gt;=D20,"PASS","FAIL"))))</f>
        <v>UNK</v>
      </c>
      <c r="I20" s="132"/>
    </row>
    <row r="28" ht="12.75"/>
    <row r="29" ht="12.75"/>
    <row r="30" ht="12.75"/>
    <row r="35" ht="12.75"/>
    <row r="36" ht="12.75"/>
    <row r="37" ht="12.75"/>
    <row r="51" ht="12.75"/>
    <row r="52" ht="12.75"/>
    <row r="53" ht="12.75"/>
    <row r="63" ht="12.75"/>
    <row r="64" ht="12.75"/>
    <row r="65" ht="12.75"/>
    <row r="71" ht="12.75"/>
    <row r="72" ht="12.75"/>
    <row r="73" ht="12.75"/>
    <row r="79" ht="12.75"/>
    <row r="80" ht="12.75"/>
    <row r="81" ht="12.75"/>
    <row r="86" ht="12.75"/>
    <row r="87" ht="12.75"/>
    <row r="88" ht="12.75"/>
    <row r="102" ht="12.75"/>
    <row r="103" ht="12.75"/>
    <row r="104" ht="12.75"/>
  </sheetData>
  <sheetProtection/>
  <conditionalFormatting sqref="H5 H7:H20">
    <cfRule type="cellIs" priority="1" dxfId="8" operator="equal" stopIfTrue="1">
      <formula>"PASS"</formula>
    </cfRule>
    <cfRule type="cellIs" priority="2" dxfId="0" operator="equal" stopIfTrue="1">
      <formula>"FAIL"</formula>
    </cfRule>
    <cfRule type="cellIs" priority="3" dxfId="9" operator="equal" stopIfTrue="1">
      <formula>"MARGINAL"</formula>
    </cfRule>
  </conditionalFormatting>
  <conditionalFormatting sqref="G7:G8 G10:G14 G16:G19">
    <cfRule type="cellIs" priority="4" dxfId="6" operator="equal" stopIfTrue="1">
      <formula>ISBLANK</formula>
    </cfRule>
    <cfRule type="cellIs" priority="5" dxfId="4" operator="notBetween" stopIfTrue="1">
      <formula>$D7</formula>
      <formula>$E7</formula>
    </cfRule>
    <cfRule type="cellIs" priority="6" dxfId="5" operator="notBetween" stopIfTrue="1">
      <formula>$D7+$F7</formula>
      <formula>$E7-$F7</formula>
    </cfRule>
  </conditionalFormatting>
  <conditionalFormatting sqref="G20 G15">
    <cfRule type="cellIs" priority="7" dxfId="6" operator="equal" stopIfTrue="1">
      <formula>ISBLANK</formula>
    </cfRule>
    <cfRule type="cellIs" priority="8" dxfId="4" operator="lessThan" stopIfTrue="1">
      <formula>$D15</formula>
    </cfRule>
    <cfRule type="cellIs" priority="9" dxfId="5" operator="lessThan" stopIfTrue="1">
      <formula>$D15+$F15</formula>
    </cfRule>
  </conditionalFormatting>
  <conditionalFormatting sqref="G9">
    <cfRule type="cellIs" priority="10" dxfId="6" operator="equal" stopIfTrue="1">
      <formula>ISBLANK</formula>
    </cfRule>
    <cfRule type="cellIs" priority="11" dxfId="4" operator="greaterThan" stopIfTrue="1">
      <formula>$E9</formula>
    </cfRule>
    <cfRule type="cellIs" priority="12" dxfId="5" operator="greaterThan" stopIfTrue="1">
      <formula>$E9-$F9</formula>
    </cfRule>
  </conditionalFormatting>
  <conditionalFormatting sqref="H4">
    <cfRule type="cellIs" priority="13" dxfId="3" operator="equal" stopIfTrue="1">
      <formula>"COMPLETE"</formula>
    </cfRule>
    <cfRule type="cellIs" priority="14" dxfId="2" operator="equal" stopIfTrue="1">
      <formula>"INCOMPLETE"</formula>
    </cfRule>
  </conditionalFormatting>
  <dataValidations count="1">
    <dataValidation type="whole" allowBlank="1" showInputMessage="1" showErrorMessage="1" promptTitle="Test ID" prompt="Enter valid test ID (minimum of 7, maximum of 9 decimal digits)" errorTitle="Enter Valid Test ID" error="Enter valid test ID (minimum of 7, maximum of 9 decimal digits)" sqref="B4">
      <formula1>1000000</formula1>
      <formula2>199999999</formula2>
    </dataValidation>
  </dataValidations>
  <printOptions/>
  <pageMargins left="0.75" right="0.75" top="0.5" bottom="0.75" header="0.5" footer="0.5"/>
  <pageSetup horizontalDpi="300" verticalDpi="300" orientation="landscape" scale="65" r:id="rId3"/>
  <headerFooter alignWithMargins="0">
    <oddFooter>&amp;L&amp;F / &amp;A&amp;CPage &amp;P of &amp;N&amp;R&amp;D &amp;T</oddFooter>
  </headerFooter>
  <colBreaks count="1" manualBreakCount="1">
    <brk id="9" max="19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29.8515625" style="15" customWidth="1"/>
    <col min="2" max="2" width="25.00390625" style="15" customWidth="1"/>
    <col min="3" max="3" width="8.8515625" style="15" customWidth="1"/>
    <col min="4" max="4" width="13.00390625" style="15" customWidth="1"/>
    <col min="5" max="5" width="15.57421875" style="15" customWidth="1"/>
    <col min="6" max="6" width="15.140625" style="15" customWidth="1"/>
    <col min="7" max="7" width="13.57421875" style="15" customWidth="1"/>
    <col min="8" max="8" width="13.57421875" style="15" hidden="1" customWidth="1"/>
    <col min="9" max="9" width="12.7109375" style="15" customWidth="1"/>
    <col min="10" max="10" width="14.140625" style="15" customWidth="1"/>
    <col min="11" max="11" width="18.140625" style="15" customWidth="1"/>
    <col min="12" max="12" width="33.421875" style="15" customWidth="1"/>
    <col min="13" max="16384" width="8.8515625" style="15" customWidth="1"/>
  </cols>
  <sheetData>
    <row r="1" spans="1:3" ht="12.75">
      <c r="A1" s="134" t="s">
        <v>217</v>
      </c>
      <c r="C1" s="85" t="s">
        <v>403</v>
      </c>
    </row>
    <row r="2" ht="12.75">
      <c r="A2" s="135"/>
    </row>
    <row r="3" spans="1:10" ht="18" customHeight="1" thickBot="1">
      <c r="A3" s="100" t="s">
        <v>54</v>
      </c>
      <c r="B3" s="196"/>
      <c r="C3" s="101"/>
      <c r="D3" s="102"/>
      <c r="E3" s="102"/>
      <c r="F3" s="102"/>
      <c r="G3" s="102"/>
      <c r="H3" s="102"/>
      <c r="I3" s="102"/>
      <c r="J3" s="102"/>
    </row>
    <row r="4" spans="1:11" ht="21" customHeight="1" thickBot="1">
      <c r="A4" s="100" t="s">
        <v>218</v>
      </c>
      <c r="B4" s="197"/>
      <c r="C4" s="101"/>
      <c r="D4" s="267" t="s">
        <v>64</v>
      </c>
      <c r="E4" s="268"/>
      <c r="F4" s="267" t="s">
        <v>65</v>
      </c>
      <c r="G4" s="268"/>
      <c r="H4" s="136" t="s">
        <v>180</v>
      </c>
      <c r="I4" s="269" t="s">
        <v>219</v>
      </c>
      <c r="J4" s="270"/>
      <c r="K4" s="34" t="str">
        <f>IF(COUNTIF(K7:K18,"UNK")&gt;0,"INCOMPLETE","COMPLETE")</f>
        <v>INCOMPLETE</v>
      </c>
    </row>
    <row r="5" spans="1:12" ht="16.5" customHeight="1">
      <c r="A5" s="137"/>
      <c r="B5" s="108"/>
      <c r="C5" s="108"/>
      <c r="D5" s="138" t="s">
        <v>244</v>
      </c>
      <c r="E5" s="138" t="s">
        <v>244</v>
      </c>
      <c r="F5" s="138" t="s">
        <v>244</v>
      </c>
      <c r="G5" s="138" t="s">
        <v>244</v>
      </c>
      <c r="H5" s="138" t="s">
        <v>244</v>
      </c>
      <c r="I5" s="269" t="s">
        <v>244</v>
      </c>
      <c r="J5" s="271" t="s">
        <v>244</v>
      </c>
      <c r="K5" s="45" t="str">
        <f>IF(COUNTIF(K7:K18,"FAIL")&gt;0,"FAIL",IF(COUNTIF(K7:K18,"PASS")&gt;0,"PASS","UNK"))</f>
        <v>UNK</v>
      </c>
      <c r="L5" s="15" t="s">
        <v>295</v>
      </c>
    </row>
    <row r="6" spans="1:12" ht="12.75">
      <c r="A6" s="111" t="s">
        <v>59</v>
      </c>
      <c r="B6" s="112" t="s">
        <v>222</v>
      </c>
      <c r="C6" s="113" t="s">
        <v>61</v>
      </c>
      <c r="D6" s="114" t="s">
        <v>245</v>
      </c>
      <c r="E6" s="114" t="s">
        <v>246</v>
      </c>
      <c r="F6" s="114" t="s">
        <v>245</v>
      </c>
      <c r="G6" s="114" t="s">
        <v>246</v>
      </c>
      <c r="H6" s="114"/>
      <c r="I6" s="115" t="s">
        <v>245</v>
      </c>
      <c r="J6" s="139" t="s">
        <v>246</v>
      </c>
      <c r="K6" s="185" t="s">
        <v>224</v>
      </c>
      <c r="L6" s="121" t="s">
        <v>71</v>
      </c>
    </row>
    <row r="7" spans="1:12" ht="51">
      <c r="A7" s="117" t="s">
        <v>225</v>
      </c>
      <c r="B7" s="140" t="s">
        <v>247</v>
      </c>
      <c r="C7" s="119" t="s">
        <v>227</v>
      </c>
      <c r="D7" s="133">
        <v>9.62</v>
      </c>
      <c r="E7" s="45">
        <v>3.12</v>
      </c>
      <c r="F7" s="133">
        <v>10.38</v>
      </c>
      <c r="G7" s="45">
        <v>3.88</v>
      </c>
      <c r="H7" s="45">
        <f>(F7-D7)*10%</f>
        <v>0.07600000000000016</v>
      </c>
      <c r="I7" s="141"/>
      <c r="J7" s="141"/>
      <c r="K7" s="45" t="str">
        <f>IF(AND(ISBLANK(I7),ISBLANK(J7)),"UNK",IF(OR(AND(I7&lt;=F7,I7&gt;=D7),AND(J7&lt;=G7,J7&gt;=E7)),"PASS","FAIL"))</f>
        <v>UNK</v>
      </c>
      <c r="L7" s="132"/>
    </row>
    <row r="8" spans="1:12" ht="51">
      <c r="A8" s="142"/>
      <c r="B8" s="140" t="s">
        <v>248</v>
      </c>
      <c r="C8" s="124" t="s">
        <v>227</v>
      </c>
      <c r="D8" s="264"/>
      <c r="E8" s="265"/>
      <c r="F8" s="264">
        <v>0.4</v>
      </c>
      <c r="G8" s="265"/>
      <c r="H8" s="52">
        <f>F8*10%</f>
        <v>0.04000000000000001</v>
      </c>
      <c r="I8" s="262"/>
      <c r="J8" s="263"/>
      <c r="K8" s="45" t="str">
        <f>IF(ISBLANK(I8),"UNK",IF(I8&lt;=F8,"PASS","FAIL"))</f>
        <v>UNK</v>
      </c>
      <c r="L8" s="132"/>
    </row>
    <row r="9" spans="1:12" ht="51">
      <c r="A9" s="142"/>
      <c r="B9" s="140" t="s">
        <v>249</v>
      </c>
      <c r="C9" s="119" t="s">
        <v>227</v>
      </c>
      <c r="D9" s="133">
        <v>24.62</v>
      </c>
      <c r="E9" s="45">
        <v>42.52</v>
      </c>
      <c r="F9" s="133">
        <v>25.38</v>
      </c>
      <c r="G9" s="45">
        <v>43.28</v>
      </c>
      <c r="H9" s="45">
        <f>(F9-D9)*10%</f>
        <v>0.0759999999999998</v>
      </c>
      <c r="I9" s="141"/>
      <c r="J9" s="141"/>
      <c r="K9" s="45" t="str">
        <f>IF(AND(ISBLANK(I9),ISBLANK(J9)),"UNK",IF(OR(AND(I9&lt;=F9,I9&gt;=D9),AND(J9&lt;=G9,J9&gt;=E9)),"PASS","FAIL"))</f>
        <v>UNK</v>
      </c>
      <c r="L9" s="132"/>
    </row>
    <row r="10" spans="1:12" ht="63.75">
      <c r="A10" s="142"/>
      <c r="B10" s="140" t="s">
        <v>250</v>
      </c>
      <c r="C10" s="119" t="s">
        <v>227</v>
      </c>
      <c r="D10" s="266">
        <v>4.4</v>
      </c>
      <c r="E10" s="265"/>
      <c r="F10" s="266">
        <v>5.4</v>
      </c>
      <c r="G10" s="265"/>
      <c r="H10" s="52">
        <f>($F10-$D10)*10%</f>
        <v>0.1</v>
      </c>
      <c r="I10" s="262"/>
      <c r="J10" s="263"/>
      <c r="K10" s="45" t="str">
        <f>IF(ISBLANK(I10),"UNK",IF(AND(I10&lt;=F10,I10&gt;=D10),"PASS","FAIL"))</f>
        <v>UNK</v>
      </c>
      <c r="L10" s="132"/>
    </row>
    <row r="11" spans="1:12" ht="25.5">
      <c r="A11" s="127" t="s">
        <v>233</v>
      </c>
      <c r="B11" s="118" t="s">
        <v>234</v>
      </c>
      <c r="C11" s="119" t="s">
        <v>227</v>
      </c>
      <c r="D11" s="260">
        <v>1.18</v>
      </c>
      <c r="E11" s="261"/>
      <c r="F11" s="260">
        <v>1.28</v>
      </c>
      <c r="G11" s="261"/>
      <c r="H11" s="52">
        <f>($F11-$D11)*10%</f>
        <v>0.010000000000000009</v>
      </c>
      <c r="I11" s="262"/>
      <c r="J11" s="263"/>
      <c r="K11" s="45" t="str">
        <f>IF(ISBLANK(I11),"UNK",IF(AND(I11&lt;=F11,I11&gt;=D11),"PASS","FAIL"))</f>
        <v>UNK</v>
      </c>
      <c r="L11" s="132"/>
    </row>
    <row r="12" spans="1:12" ht="63.75">
      <c r="A12" s="125"/>
      <c r="B12" s="118" t="s">
        <v>235</v>
      </c>
      <c r="C12" s="128" t="s">
        <v>227</v>
      </c>
      <c r="D12" s="260">
        <v>1.5</v>
      </c>
      <c r="E12" s="261"/>
      <c r="F12" s="260">
        <v>1.66</v>
      </c>
      <c r="G12" s="261"/>
      <c r="H12" s="52">
        <f>($F12-$D12)*10%</f>
        <v>0.015999999999999993</v>
      </c>
      <c r="I12" s="262"/>
      <c r="J12" s="263"/>
      <c r="K12" s="45" t="str">
        <f>IF(AND(NOT(ISBLANK(I12)),NOT(ISBLANK(I13))),"FAIL",IF(NOT(ISBLANK(I13)),"N/A",IF(ISBLANK(I12),"UNK",IF(AND(I12&lt;=F12,I12&gt;=D12),"PASS","FAIL"))))</f>
        <v>UNK</v>
      </c>
      <c r="L12" s="132"/>
    </row>
    <row r="13" spans="1:12" ht="51">
      <c r="A13" s="125"/>
      <c r="B13" s="118" t="s">
        <v>236</v>
      </c>
      <c r="C13" s="128" t="s">
        <v>227</v>
      </c>
      <c r="D13" s="260">
        <v>1.5</v>
      </c>
      <c r="E13" s="261"/>
      <c r="F13" s="260"/>
      <c r="G13" s="261"/>
      <c r="H13" s="52">
        <f>$D13*10%</f>
        <v>0.15000000000000002</v>
      </c>
      <c r="I13" s="262"/>
      <c r="J13" s="263"/>
      <c r="K13" s="45" t="str">
        <f>IF(AND(NOT(ISBLANK(I12)),NOT(ISBLANK(I13))),"FAIL",IF(NOT(ISBLANK(I12)),"N/A",IF(ISBLANK(I13),"UNK",IF(I13&gt;=D13,"PASS","FAIL"))))</f>
        <v>UNK</v>
      </c>
      <c r="L13" s="132"/>
    </row>
    <row r="14" spans="1:12" ht="38.25">
      <c r="A14" s="125"/>
      <c r="B14" s="118" t="s">
        <v>237</v>
      </c>
      <c r="C14" s="128" t="s">
        <v>227</v>
      </c>
      <c r="D14" s="260">
        <v>33.31</v>
      </c>
      <c r="E14" s="261"/>
      <c r="F14" s="260">
        <v>33.47</v>
      </c>
      <c r="G14" s="261"/>
      <c r="H14" s="52">
        <f>($F14-$D14)*10%</f>
        <v>0.01599999999999966</v>
      </c>
      <c r="I14" s="262"/>
      <c r="J14" s="263"/>
      <c r="K14" s="45" t="str">
        <f>IF(ISBLANK(I14),"UNK",IF(AND(I14&lt;=F14,I14&gt;=D14),"PASS","FAIL"))</f>
        <v>UNK</v>
      </c>
      <c r="L14" s="132"/>
    </row>
    <row r="15" spans="1:12" ht="38.25">
      <c r="A15" s="125"/>
      <c r="B15" s="118" t="s">
        <v>238</v>
      </c>
      <c r="C15" s="128" t="s">
        <v>227</v>
      </c>
      <c r="D15" s="260">
        <v>2.36</v>
      </c>
      <c r="E15" s="261"/>
      <c r="F15" s="260">
        <v>2.46</v>
      </c>
      <c r="G15" s="261"/>
      <c r="H15" s="52">
        <f>($F15-$D15)*10%</f>
        <v>0.010000000000000009</v>
      </c>
      <c r="I15" s="262"/>
      <c r="J15" s="263"/>
      <c r="K15" s="45" t="str">
        <f>IF(ISBLANK(I15),"UNK",IF(AND(I15&lt;=F15,I15&gt;=D15),"PASS","FAIL"))</f>
        <v>UNK</v>
      </c>
      <c r="L15" s="132"/>
    </row>
    <row r="16" spans="1:12" ht="25.5">
      <c r="A16" s="127" t="s">
        <v>239</v>
      </c>
      <c r="B16" s="118" t="s">
        <v>234</v>
      </c>
      <c r="C16" s="128" t="s">
        <v>227</v>
      </c>
      <c r="D16" s="260">
        <v>1.18</v>
      </c>
      <c r="E16" s="261"/>
      <c r="F16" s="260">
        <v>1.28</v>
      </c>
      <c r="G16" s="261"/>
      <c r="H16" s="52">
        <f>($F16-$D16)*10%</f>
        <v>0.010000000000000009</v>
      </c>
      <c r="I16" s="262"/>
      <c r="J16" s="263"/>
      <c r="K16" s="45" t="str">
        <f>IF(ISBLANK(I16),"UNK",IF(AND(I16&lt;=F16,I16&gt;=D16),"PASS","FAIL"))</f>
        <v>UNK</v>
      </c>
      <c r="L16" s="132"/>
    </row>
    <row r="17" spans="1:12" ht="63.75">
      <c r="A17" s="125"/>
      <c r="B17" s="118" t="s">
        <v>240</v>
      </c>
      <c r="C17" s="128" t="s">
        <v>227</v>
      </c>
      <c r="D17" s="260">
        <v>1.5</v>
      </c>
      <c r="E17" s="261"/>
      <c r="F17" s="260">
        <v>1.66</v>
      </c>
      <c r="G17" s="261"/>
      <c r="H17" s="52">
        <f>($F17-$D17)*10%</f>
        <v>0.015999999999999993</v>
      </c>
      <c r="I17" s="262"/>
      <c r="J17" s="263"/>
      <c r="K17" s="45" t="str">
        <f>IF(AND(NOT(ISBLANK(I17)),NOT(ISBLANK(I18))),"FAIL",IF(NOT(ISBLANK(I18)),"N/A",IF(ISBLANK(I17),"UNK",IF(AND(I17&lt;=F17,I17&gt;=D17),"PASS","FAIL"))))</f>
        <v>UNK</v>
      </c>
      <c r="L17" s="132"/>
    </row>
    <row r="18" spans="1:12" ht="51">
      <c r="A18" s="131"/>
      <c r="B18" s="118" t="s">
        <v>236</v>
      </c>
      <c r="C18" s="128" t="s">
        <v>227</v>
      </c>
      <c r="D18" s="260">
        <v>1.5</v>
      </c>
      <c r="E18" s="261"/>
      <c r="F18" s="260"/>
      <c r="G18" s="261"/>
      <c r="H18" s="52">
        <f>$D18*10%</f>
        <v>0.15000000000000002</v>
      </c>
      <c r="I18" s="262"/>
      <c r="J18" s="263"/>
      <c r="K18" s="45" t="str">
        <f>IF(AND(NOT(ISBLANK(I17)),NOT(ISBLANK(I18))),"FAIL",IF(NOT(ISBLANK(I17)),"N/A",IF(ISBLANK(I18),"UNK",IF(I18&gt;=D18,"PASS","FAIL"))))</f>
        <v>UNK</v>
      </c>
      <c r="L18" s="132"/>
    </row>
    <row r="31" ht="12.75"/>
    <row r="32" ht="12.75"/>
    <row r="33" ht="12.75"/>
    <row r="47" ht="12.75"/>
    <row r="48" ht="12.75"/>
    <row r="49" ht="12.75"/>
    <row r="59" ht="12.75"/>
    <row r="60" ht="12.75"/>
    <row r="61" ht="12.75"/>
    <row r="67" ht="12.75"/>
    <row r="68" ht="12.75"/>
    <row r="69" ht="12.75"/>
    <row r="75" ht="12.75"/>
    <row r="76" ht="12.75"/>
    <row r="77" ht="12.75"/>
    <row r="82" ht="12.75"/>
    <row r="83" ht="12.75"/>
    <row r="84" ht="12.75"/>
    <row r="98" ht="12.75"/>
    <row r="99" ht="12.75"/>
    <row r="100" ht="12.75"/>
  </sheetData>
  <sheetProtection/>
  <mergeCells count="34">
    <mergeCell ref="D4:E4"/>
    <mergeCell ref="F4:G4"/>
    <mergeCell ref="I4:J4"/>
    <mergeCell ref="I5:J5"/>
    <mergeCell ref="D8:E8"/>
    <mergeCell ref="F8:G8"/>
    <mergeCell ref="I8:J8"/>
    <mergeCell ref="D10:E10"/>
    <mergeCell ref="F10:G10"/>
    <mergeCell ref="I10:J10"/>
    <mergeCell ref="D11:E11"/>
    <mergeCell ref="F11:G11"/>
    <mergeCell ref="I11:J11"/>
    <mergeCell ref="D12:E12"/>
    <mergeCell ref="F12:G12"/>
    <mergeCell ref="I12:J12"/>
    <mergeCell ref="D13:E13"/>
    <mergeCell ref="F13:G13"/>
    <mergeCell ref="I13:J13"/>
    <mergeCell ref="D14:E14"/>
    <mergeCell ref="F14:G14"/>
    <mergeCell ref="I14:J14"/>
    <mergeCell ref="D15:E15"/>
    <mergeCell ref="F15:G15"/>
    <mergeCell ref="I15:J15"/>
    <mergeCell ref="D16:E16"/>
    <mergeCell ref="F16:G16"/>
    <mergeCell ref="I16:J16"/>
    <mergeCell ref="D17:E17"/>
    <mergeCell ref="F17:G17"/>
    <mergeCell ref="I17:J17"/>
    <mergeCell ref="D18:E18"/>
    <mergeCell ref="F18:G18"/>
    <mergeCell ref="I18:J18"/>
  </mergeCells>
  <conditionalFormatting sqref="K5 K7:K18">
    <cfRule type="cellIs" priority="1" dxfId="8" operator="equal" stopIfTrue="1">
      <formula>"PASS"</formula>
    </cfRule>
    <cfRule type="cellIs" priority="2" dxfId="0" operator="equal" stopIfTrue="1">
      <formula>"FAIL"</formula>
    </cfRule>
    <cfRule type="cellIs" priority="3" dxfId="9" operator="equal" stopIfTrue="1">
      <formula>"MARGINAL"</formula>
    </cfRule>
  </conditionalFormatting>
  <conditionalFormatting sqref="I7 I9 I10:J12 I14:J17">
    <cfRule type="cellIs" priority="4" dxfId="6" operator="equal" stopIfTrue="1">
      <formula>ISBLANK</formula>
    </cfRule>
    <cfRule type="cellIs" priority="5" dxfId="4" operator="notBetween" stopIfTrue="1">
      <formula>$D7</formula>
      <formula>$F7</formula>
    </cfRule>
    <cfRule type="cellIs" priority="6" dxfId="5" operator="notBetween" stopIfTrue="1">
      <formula>$D7+$H7</formula>
      <formula>$F7-$H7</formula>
    </cfRule>
  </conditionalFormatting>
  <conditionalFormatting sqref="J7 J9">
    <cfRule type="cellIs" priority="7" dxfId="6" operator="equal" stopIfTrue="1">
      <formula>ISBLANK</formula>
    </cfRule>
    <cfRule type="cellIs" priority="8" dxfId="4" operator="notBetween" stopIfTrue="1">
      <formula>$E7</formula>
      <formula>$G7</formula>
    </cfRule>
    <cfRule type="cellIs" priority="9" dxfId="5" operator="notBetween" stopIfTrue="1">
      <formula>$E7+$H7</formula>
      <formula>$G7-$H7</formula>
    </cfRule>
  </conditionalFormatting>
  <conditionalFormatting sqref="I8:J8">
    <cfRule type="cellIs" priority="10" dxfId="6" operator="equal" stopIfTrue="1">
      <formula>ISBLANK</formula>
    </cfRule>
    <cfRule type="cellIs" priority="11" dxfId="4" operator="greaterThan" stopIfTrue="1">
      <formula>$F8</formula>
    </cfRule>
    <cfRule type="cellIs" priority="12" dxfId="5" operator="greaterThan" stopIfTrue="1">
      <formula>$F8-$H8</formula>
    </cfRule>
  </conditionalFormatting>
  <conditionalFormatting sqref="I13:J13 I18:J18">
    <cfRule type="cellIs" priority="13" dxfId="6" operator="equal" stopIfTrue="1">
      <formula>ISBLANK</formula>
    </cfRule>
    <cfRule type="cellIs" priority="14" dxfId="4" operator="lessThan" stopIfTrue="1">
      <formula>$D13</formula>
    </cfRule>
    <cfRule type="cellIs" priority="15" dxfId="5" operator="lessThan" stopIfTrue="1">
      <formula>$D13+$H13</formula>
    </cfRule>
  </conditionalFormatting>
  <conditionalFormatting sqref="K4">
    <cfRule type="cellIs" priority="16" dxfId="3" operator="equal" stopIfTrue="1">
      <formula>"COMPLETE"</formula>
    </cfRule>
    <cfRule type="cellIs" priority="17" dxfId="2" operator="equal" stopIfTrue="1">
      <formula>"INCOMPLETE"</formula>
    </cfRule>
  </conditionalFormatting>
  <dataValidations count="1">
    <dataValidation type="whole" allowBlank="1" showInputMessage="1" showErrorMessage="1" promptTitle="Test ID" prompt="Enter valid test ID (minimum of 7, maximum of 9 decimal digits)" errorTitle="Enter Valid Test ID" error="Enter valid test ID (minimum of 7, maximum of 9 decimal digits)" sqref="B4">
      <formula1>1000000</formula1>
      <formula2>199999999</formula2>
    </dataValidation>
  </dataValidations>
  <printOptions/>
  <pageMargins left="0.5" right="0.5" top="0.5" bottom="0.75" header="0.5" footer="0.5"/>
  <pageSetup horizontalDpi="300" verticalDpi="300" orientation="landscape" scale="65" r:id="rId3"/>
  <headerFooter alignWithMargins="0">
    <oddFooter>&amp;L&amp;F / &amp;A&amp;CPage &amp;P of &amp;N&amp;R&amp;D 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workbookViewId="0" topLeftCell="A1">
      <selection activeCell="C2" sqref="C2"/>
    </sheetView>
  </sheetViews>
  <sheetFormatPr defaultColWidth="9.140625" defaultRowHeight="12.75"/>
  <cols>
    <col min="1" max="1" width="29.8515625" style="15" customWidth="1"/>
    <col min="2" max="2" width="25.00390625" style="15" customWidth="1"/>
    <col min="3" max="3" width="6.7109375" style="15" bestFit="1" customWidth="1"/>
    <col min="4" max="7" width="8.7109375" style="15" customWidth="1"/>
    <col min="8" max="8" width="11.7109375" style="15" hidden="1" customWidth="1"/>
    <col min="9" max="10" width="8.7109375" style="15" customWidth="1"/>
    <col min="11" max="11" width="18.140625" style="15" customWidth="1"/>
    <col min="12" max="12" width="33.421875" style="15" customWidth="1"/>
    <col min="13" max="16384" width="8.8515625" style="15" customWidth="1"/>
  </cols>
  <sheetData>
    <row r="1" spans="1:3" ht="12.75">
      <c r="A1" s="134" t="s">
        <v>217</v>
      </c>
      <c r="C1" s="85" t="s">
        <v>403</v>
      </c>
    </row>
    <row r="2" ht="12.75">
      <c r="A2" s="135"/>
    </row>
    <row r="3" spans="1:10" ht="18" customHeight="1" thickBot="1">
      <c r="A3" s="100" t="s">
        <v>54</v>
      </c>
      <c r="B3" s="196"/>
      <c r="C3" s="101"/>
      <c r="D3" s="102"/>
      <c r="E3" s="102"/>
      <c r="F3" s="102"/>
      <c r="G3" s="102"/>
      <c r="H3" s="102"/>
      <c r="I3" s="102"/>
      <c r="J3" s="102"/>
    </row>
    <row r="4" spans="1:11" ht="21" customHeight="1" thickBot="1">
      <c r="A4" s="100" t="s">
        <v>218</v>
      </c>
      <c r="B4" s="197"/>
      <c r="C4" s="101"/>
      <c r="D4" s="267" t="s">
        <v>64</v>
      </c>
      <c r="E4" s="268"/>
      <c r="F4" s="267" t="s">
        <v>65</v>
      </c>
      <c r="G4" s="268"/>
      <c r="H4" s="136" t="s">
        <v>180</v>
      </c>
      <c r="I4" s="269" t="s">
        <v>219</v>
      </c>
      <c r="J4" s="270"/>
      <c r="K4" s="105" t="str">
        <f>IF(COUNTIF(K7:K18,"UNK")&gt;0,"INCOMPLETE","COMPLETE")</f>
        <v>INCOMPLETE</v>
      </c>
    </row>
    <row r="5" spans="1:12" ht="16.5" customHeight="1">
      <c r="A5" s="137"/>
      <c r="B5" s="108"/>
      <c r="C5" s="108"/>
      <c r="D5" s="272" t="s">
        <v>321</v>
      </c>
      <c r="E5" s="273"/>
      <c r="F5" s="272" t="s">
        <v>321</v>
      </c>
      <c r="G5" s="273"/>
      <c r="H5" s="138" t="s">
        <v>322</v>
      </c>
      <c r="I5" s="272" t="s">
        <v>321</v>
      </c>
      <c r="J5" s="273"/>
      <c r="K5" s="45" t="str">
        <f>IF(COUNTIF(K7:K18,"FAIL")&gt;0,"FAIL",IF(COUNTIF(K7:K18,"PASS")&gt;0,"PASS","UNK"))</f>
        <v>UNK</v>
      </c>
      <c r="L5" s="15" t="s">
        <v>323</v>
      </c>
    </row>
    <row r="6" spans="1:12" ht="12.75">
      <c r="A6" s="111" t="s">
        <v>59</v>
      </c>
      <c r="B6" s="112" t="s">
        <v>222</v>
      </c>
      <c r="C6" s="113" t="s">
        <v>61</v>
      </c>
      <c r="D6" s="114" t="s">
        <v>319</v>
      </c>
      <c r="E6" s="114" t="s">
        <v>320</v>
      </c>
      <c r="F6" s="114" t="s">
        <v>319</v>
      </c>
      <c r="G6" s="114" t="s">
        <v>320</v>
      </c>
      <c r="H6" s="114"/>
      <c r="I6" s="114" t="s">
        <v>319</v>
      </c>
      <c r="J6" s="114" t="s">
        <v>320</v>
      </c>
      <c r="K6" s="185" t="s">
        <v>224</v>
      </c>
      <c r="L6" s="121" t="s">
        <v>71</v>
      </c>
    </row>
    <row r="7" spans="1:12" s="69" customFormat="1" ht="51">
      <c r="A7" s="117" t="s">
        <v>225</v>
      </c>
      <c r="B7" s="188" t="s">
        <v>247</v>
      </c>
      <c r="C7" s="189" t="s">
        <v>227</v>
      </c>
      <c r="D7" s="190">
        <f>6.2-0.38</f>
        <v>5.82</v>
      </c>
      <c r="E7" s="91">
        <f>6-0.38</f>
        <v>5.62</v>
      </c>
      <c r="F7" s="190">
        <f>6.2+0.38</f>
        <v>6.58</v>
      </c>
      <c r="G7" s="91">
        <f>6+0.38</f>
        <v>6.38</v>
      </c>
      <c r="H7" s="91">
        <f>(F7-D7)*10%</f>
        <v>0.07599999999999998</v>
      </c>
      <c r="I7" s="191"/>
      <c r="J7" s="191"/>
      <c r="K7" s="91" t="str">
        <f>IF(AND(ISBLANK(I7),ISBLANK(J7)),"UNK",IF(OR(AND(I7&lt;=F7,I7&gt;=D7),AND(J7&lt;=G7,J7&gt;=E7)),"PASS","FAIL"))</f>
        <v>UNK</v>
      </c>
      <c r="L7" s="192"/>
    </row>
    <row r="8" spans="1:12" ht="51">
      <c r="A8" s="142"/>
      <c r="B8" s="140" t="s">
        <v>248</v>
      </c>
      <c r="C8" s="124" t="s">
        <v>227</v>
      </c>
      <c r="D8" s="264"/>
      <c r="E8" s="265"/>
      <c r="F8" s="264">
        <v>0.4</v>
      </c>
      <c r="G8" s="265"/>
      <c r="H8" s="52">
        <f>F8*10%</f>
        <v>0.04000000000000001</v>
      </c>
      <c r="I8" s="262"/>
      <c r="J8" s="263"/>
      <c r="K8" s="45" t="str">
        <f>IF(ISBLANK(I8),"UNK",IF(I8&lt;=F8,"PASS","FAIL"))</f>
        <v>UNK</v>
      </c>
      <c r="L8" s="132"/>
    </row>
    <row r="9" spans="1:12" ht="38.25">
      <c r="A9" s="142"/>
      <c r="B9" s="140" t="s">
        <v>345</v>
      </c>
      <c r="C9" s="119" t="s">
        <v>227</v>
      </c>
      <c r="D9" s="266">
        <f>21.25-0.38</f>
        <v>20.87</v>
      </c>
      <c r="E9" s="274"/>
      <c r="F9" s="266">
        <f>21.25+0.38</f>
        <v>21.63</v>
      </c>
      <c r="G9" s="274"/>
      <c r="H9" s="45">
        <f>(F9-D9)*10%</f>
        <v>0.0759999999999998</v>
      </c>
      <c r="I9" s="262"/>
      <c r="J9" s="263"/>
      <c r="K9" s="45" t="str">
        <f>IF(ISBLANK(I9),"UNK",IF(AND(I9&lt;=F9,I9&gt;=D9),"PASS","FAIL"))</f>
        <v>UNK</v>
      </c>
      <c r="L9" s="132"/>
    </row>
    <row r="10" spans="1:12" ht="63.75">
      <c r="A10" s="142"/>
      <c r="B10" s="140" t="s">
        <v>250</v>
      </c>
      <c r="C10" s="119" t="s">
        <v>227</v>
      </c>
      <c r="D10" s="266">
        <f>5.2-0.3</f>
        <v>4.9</v>
      </c>
      <c r="E10" s="265"/>
      <c r="F10" s="266">
        <f>5.2+0.3</f>
        <v>5.5</v>
      </c>
      <c r="G10" s="265"/>
      <c r="H10" s="52">
        <f>($F10-$D10)*10%</f>
        <v>0.05999999999999997</v>
      </c>
      <c r="I10" s="262"/>
      <c r="J10" s="263"/>
      <c r="K10" s="45" t="str">
        <f>IF(ISBLANK(I10),"UNK",IF(AND(I10&lt;=F10,I10&gt;=D10),"PASS","FAIL"))</f>
        <v>UNK</v>
      </c>
      <c r="L10" s="132"/>
    </row>
    <row r="11" spans="1:12" ht="25.5">
      <c r="A11" s="127" t="s">
        <v>233</v>
      </c>
      <c r="B11" s="118" t="s">
        <v>234</v>
      </c>
      <c r="C11" s="119" t="s">
        <v>227</v>
      </c>
      <c r="D11" s="260">
        <f>1.23-0.05</f>
        <v>1.18</v>
      </c>
      <c r="E11" s="261"/>
      <c r="F11" s="260">
        <f>1.23+0.05</f>
        <v>1.28</v>
      </c>
      <c r="G11" s="261"/>
      <c r="H11" s="52">
        <f>($F11-$D11)*10%</f>
        <v>0.010000000000000009</v>
      </c>
      <c r="I11" s="262"/>
      <c r="J11" s="263"/>
      <c r="K11" s="45" t="str">
        <f>IF(ISBLANK(I11),"UNK",IF(AND(I11&lt;=F11,I11&gt;=D11),"PASS","FAIL"))</f>
        <v>UNK</v>
      </c>
      <c r="L11" s="132"/>
    </row>
    <row r="12" spans="1:12" ht="63.75">
      <c r="A12" s="125"/>
      <c r="B12" s="118" t="s">
        <v>235</v>
      </c>
      <c r="C12" s="128" t="s">
        <v>227</v>
      </c>
      <c r="D12" s="260">
        <f>1.58-0.08</f>
        <v>1.5</v>
      </c>
      <c r="E12" s="261"/>
      <c r="F12" s="260">
        <f>1.58+0.08</f>
        <v>1.6600000000000001</v>
      </c>
      <c r="G12" s="261"/>
      <c r="H12" s="52">
        <f>($F12-$D12)*10%</f>
        <v>0.016000000000000014</v>
      </c>
      <c r="I12" s="262"/>
      <c r="J12" s="263"/>
      <c r="K12" s="45" t="str">
        <f>IF(AND(NOT(ISBLANK(I12)),NOT(ISBLANK(I13))),"FAIL",IF(NOT(ISBLANK(I13)),"N/A",IF(ISBLANK(I12),"UNK",IF(AND(I12&lt;=F12,I12&gt;=D12),"PASS","FAIL"))))</f>
        <v>UNK</v>
      </c>
      <c r="L12" s="132"/>
    </row>
    <row r="13" spans="1:12" ht="51">
      <c r="A13" s="125"/>
      <c r="B13" s="118" t="s">
        <v>236</v>
      </c>
      <c r="C13" s="128" t="s">
        <v>227</v>
      </c>
      <c r="D13" s="260">
        <v>1.5</v>
      </c>
      <c r="E13" s="261"/>
      <c r="F13" s="260"/>
      <c r="G13" s="261"/>
      <c r="H13" s="52">
        <f>$D13*10%</f>
        <v>0.15000000000000002</v>
      </c>
      <c r="I13" s="262"/>
      <c r="J13" s="263"/>
      <c r="K13" s="45" t="str">
        <f>IF(AND(NOT(ISBLANK(I12)),NOT(ISBLANK(I13))),"FAIL",IF(NOT(ISBLANK(I12)),"N/A",IF(ISBLANK(I13),"UNK",IF(I13&gt;=D13,"PASS","FAIL"))))</f>
        <v>UNK</v>
      </c>
      <c r="L13" s="132"/>
    </row>
    <row r="14" spans="1:12" ht="38.25">
      <c r="A14" s="125"/>
      <c r="B14" s="118" t="s">
        <v>237</v>
      </c>
      <c r="C14" s="128" t="s">
        <v>227</v>
      </c>
      <c r="D14" s="260">
        <f>20.4-0.08</f>
        <v>20.32</v>
      </c>
      <c r="E14" s="261"/>
      <c r="F14" s="260">
        <f>20.4+0.08</f>
        <v>20.479999999999997</v>
      </c>
      <c r="G14" s="261"/>
      <c r="H14" s="52">
        <f>($F14-$D14)*10%</f>
        <v>0.01599999999999966</v>
      </c>
      <c r="I14" s="262"/>
      <c r="J14" s="263"/>
      <c r="K14" s="45" t="str">
        <f>IF(ISBLANK(I14),"UNK",IF(AND(I14&lt;=F14,I14&gt;=D14),"PASS","FAIL"))</f>
        <v>UNK</v>
      </c>
      <c r="L14" s="132"/>
    </row>
    <row r="15" spans="1:12" ht="38.25">
      <c r="A15" s="125"/>
      <c r="B15" s="118" t="s">
        <v>238</v>
      </c>
      <c r="C15" s="128" t="s">
        <v>227</v>
      </c>
      <c r="D15" s="260">
        <f>2.34-0.05</f>
        <v>2.29</v>
      </c>
      <c r="E15" s="261"/>
      <c r="F15" s="260">
        <f>2.34+0.05</f>
        <v>2.3899999999999997</v>
      </c>
      <c r="G15" s="261"/>
      <c r="H15" s="52">
        <f>($F15-$D15)*10%</f>
        <v>0.009999999999999966</v>
      </c>
      <c r="I15" s="262"/>
      <c r="J15" s="263"/>
      <c r="K15" s="45" t="str">
        <f>IF(ISBLANK(I15),"UNK",IF(AND(I15&lt;=F15,I15&gt;=D15),"PASS","FAIL"))</f>
        <v>UNK</v>
      </c>
      <c r="L15" s="132"/>
    </row>
    <row r="16" spans="1:12" ht="25.5">
      <c r="A16" s="127" t="s">
        <v>239</v>
      </c>
      <c r="B16" s="118" t="s">
        <v>234</v>
      </c>
      <c r="C16" s="128" t="s">
        <v>227</v>
      </c>
      <c r="D16" s="260">
        <f>1.23-0.05</f>
        <v>1.18</v>
      </c>
      <c r="E16" s="261"/>
      <c r="F16" s="260">
        <f>1.23+0.05</f>
        <v>1.28</v>
      </c>
      <c r="G16" s="261"/>
      <c r="H16" s="52">
        <f>($F16-$D16)*10%</f>
        <v>0.010000000000000009</v>
      </c>
      <c r="I16" s="262"/>
      <c r="J16" s="263"/>
      <c r="K16" s="45" t="str">
        <f>IF(ISBLANK(I16),"UNK",IF(AND(I16&lt;=F16,I16&gt;=D16),"PASS","FAIL"))</f>
        <v>UNK</v>
      </c>
      <c r="L16" s="132"/>
    </row>
    <row r="17" spans="1:12" ht="63.75">
      <c r="A17" s="125"/>
      <c r="B17" s="118" t="s">
        <v>240</v>
      </c>
      <c r="C17" s="128" t="s">
        <v>227</v>
      </c>
      <c r="D17" s="260">
        <f>1.58-0.08</f>
        <v>1.5</v>
      </c>
      <c r="E17" s="261"/>
      <c r="F17" s="260">
        <f>1.58+0.08</f>
        <v>1.6600000000000001</v>
      </c>
      <c r="G17" s="261"/>
      <c r="H17" s="52">
        <f>($F17-$D17)*10%</f>
        <v>0.016000000000000014</v>
      </c>
      <c r="I17" s="262"/>
      <c r="J17" s="263"/>
      <c r="K17" s="45" t="str">
        <f>IF(AND(NOT(ISBLANK(I17)),NOT(ISBLANK(I18))),"FAIL",IF(NOT(ISBLANK(I18)),"N/A",IF(ISBLANK(I17),"UNK",IF(AND(I17&lt;=F17,I17&gt;=D17),"PASS","FAIL"))))</f>
        <v>UNK</v>
      </c>
      <c r="L17" s="132"/>
    </row>
    <row r="18" spans="1:12" ht="51">
      <c r="A18" s="131"/>
      <c r="B18" s="118" t="s">
        <v>236</v>
      </c>
      <c r="C18" s="128" t="s">
        <v>227</v>
      </c>
      <c r="D18" s="260">
        <v>1.5</v>
      </c>
      <c r="E18" s="261"/>
      <c r="F18" s="260"/>
      <c r="G18" s="261"/>
      <c r="H18" s="52">
        <f>$D18*10%</f>
        <v>0.15000000000000002</v>
      </c>
      <c r="I18" s="262"/>
      <c r="J18" s="263"/>
      <c r="K18" s="45" t="str">
        <f>IF(AND(NOT(ISBLANK(I17)),NOT(ISBLANK(I18))),"FAIL",IF(NOT(ISBLANK(I17)),"N/A",IF(ISBLANK(I18),"UNK",IF(I18&gt;=D18,"PASS","FAIL"))))</f>
        <v>UNK</v>
      </c>
      <c r="L18" s="132"/>
    </row>
    <row r="31" ht="12.75"/>
    <row r="32" ht="12.75"/>
    <row r="33" ht="12.75"/>
    <row r="47" ht="12.75"/>
    <row r="48" ht="12.75"/>
    <row r="49" ht="12.75"/>
    <row r="59" ht="12.75"/>
    <row r="60" ht="12.75"/>
    <row r="61" ht="12.75"/>
    <row r="62" ht="12.75"/>
    <row r="67" ht="12.75"/>
    <row r="68" ht="12.75"/>
    <row r="69" ht="12.75"/>
    <row r="75" ht="12.75"/>
    <row r="76" ht="12.75"/>
    <row r="77" ht="12.75"/>
    <row r="78" ht="12.75"/>
    <row r="82" ht="12.75"/>
    <row r="83" ht="12.75"/>
    <row r="84" ht="12.75"/>
    <row r="98" ht="12.75"/>
    <row r="99" ht="12.75"/>
    <row r="100" ht="12.75"/>
  </sheetData>
  <sheetProtection/>
  <mergeCells count="39">
    <mergeCell ref="D17:E17"/>
    <mergeCell ref="F17:G17"/>
    <mergeCell ref="I17:J17"/>
    <mergeCell ref="D18:E18"/>
    <mergeCell ref="F18:G18"/>
    <mergeCell ref="I18:J18"/>
    <mergeCell ref="D15:E15"/>
    <mergeCell ref="F15:G15"/>
    <mergeCell ref="I15:J15"/>
    <mergeCell ref="D16:E16"/>
    <mergeCell ref="F16:G16"/>
    <mergeCell ref="I16:J16"/>
    <mergeCell ref="D13:E13"/>
    <mergeCell ref="F13:G13"/>
    <mergeCell ref="I13:J13"/>
    <mergeCell ref="D14:E14"/>
    <mergeCell ref="F14:G14"/>
    <mergeCell ref="I14:J14"/>
    <mergeCell ref="D11:E11"/>
    <mergeCell ref="F11:G11"/>
    <mergeCell ref="I11:J11"/>
    <mergeCell ref="D12:E12"/>
    <mergeCell ref="F12:G12"/>
    <mergeCell ref="I12:J12"/>
    <mergeCell ref="D8:E8"/>
    <mergeCell ref="F8:G8"/>
    <mergeCell ref="I8:J8"/>
    <mergeCell ref="D10:E10"/>
    <mergeCell ref="F10:G10"/>
    <mergeCell ref="I10:J10"/>
    <mergeCell ref="I9:J9"/>
    <mergeCell ref="D9:E9"/>
    <mergeCell ref="F9:G9"/>
    <mergeCell ref="D4:E4"/>
    <mergeCell ref="F4:G4"/>
    <mergeCell ref="I4:J4"/>
    <mergeCell ref="I5:J5"/>
    <mergeCell ref="D5:E5"/>
    <mergeCell ref="F5:G5"/>
  </mergeCells>
  <conditionalFormatting sqref="K5 K7:K18">
    <cfRule type="cellIs" priority="1" dxfId="8" operator="equal" stopIfTrue="1">
      <formula>"PASS"</formula>
    </cfRule>
    <cfRule type="cellIs" priority="2" dxfId="0" operator="equal" stopIfTrue="1">
      <formula>"FAIL"</formula>
    </cfRule>
    <cfRule type="cellIs" priority="3" dxfId="9" operator="equal" stopIfTrue="1">
      <formula>"MARGINAL"</formula>
    </cfRule>
  </conditionalFormatting>
  <conditionalFormatting sqref="I7 I14:J17 I9:J12">
    <cfRule type="cellIs" priority="4" dxfId="6" operator="equal" stopIfTrue="1">
      <formula>ISBLANK</formula>
    </cfRule>
    <cfRule type="cellIs" priority="5" dxfId="4" operator="notBetween" stopIfTrue="1">
      <formula>$D7</formula>
      <formula>$F7</formula>
    </cfRule>
    <cfRule type="cellIs" priority="6" dxfId="5" operator="notBetween" stopIfTrue="1">
      <formula>$D7+$H7</formula>
      <formula>$F7-$H7</formula>
    </cfRule>
  </conditionalFormatting>
  <conditionalFormatting sqref="J7">
    <cfRule type="cellIs" priority="7" dxfId="6" operator="equal" stopIfTrue="1">
      <formula>ISBLANK</formula>
    </cfRule>
    <cfRule type="cellIs" priority="8" dxfId="4" operator="notBetween" stopIfTrue="1">
      <formula>$E7</formula>
      <formula>$G7</formula>
    </cfRule>
    <cfRule type="cellIs" priority="9" dxfId="5" operator="notBetween" stopIfTrue="1">
      <formula>$E7+$H7</formula>
      <formula>$G7-$H7</formula>
    </cfRule>
  </conditionalFormatting>
  <conditionalFormatting sqref="I8:J8">
    <cfRule type="cellIs" priority="10" dxfId="6" operator="equal" stopIfTrue="1">
      <formula>ISBLANK</formula>
    </cfRule>
    <cfRule type="cellIs" priority="11" dxfId="4" operator="greaterThan" stopIfTrue="1">
      <formula>$F8</formula>
    </cfRule>
    <cfRule type="cellIs" priority="12" dxfId="5" operator="greaterThan" stopIfTrue="1">
      <formula>$F8-$H8</formula>
    </cfRule>
  </conditionalFormatting>
  <conditionalFormatting sqref="I13:J13 I18:J18">
    <cfRule type="cellIs" priority="13" dxfId="6" operator="equal" stopIfTrue="1">
      <formula>ISBLANK</formula>
    </cfRule>
    <cfRule type="cellIs" priority="14" dxfId="4" operator="lessThan" stopIfTrue="1">
      <formula>$D13</formula>
    </cfRule>
    <cfRule type="cellIs" priority="15" dxfId="5" operator="lessThan" stopIfTrue="1">
      <formula>$D13+$H13</formula>
    </cfRule>
  </conditionalFormatting>
  <conditionalFormatting sqref="K4">
    <cfRule type="cellIs" priority="16" dxfId="3" operator="equal" stopIfTrue="1">
      <formula>"COMPLETE"</formula>
    </cfRule>
    <cfRule type="cellIs" priority="17" dxfId="2" operator="equal" stopIfTrue="1">
      <formula>"INCOMPLETE"</formula>
    </cfRule>
  </conditionalFormatting>
  <dataValidations count="1">
    <dataValidation type="whole" allowBlank="1" showInputMessage="1" showErrorMessage="1" promptTitle="Test ID" prompt="Enter valid test ID (minimum of 7, maximum of 9 decimal digits)" errorTitle="Enter Valid Test ID" error="Enter valid test ID (minimum of 7, maximum of 9 decimal digits)" sqref="B4">
      <formula1>1000000</formula1>
      <formula2>199999999</formula2>
    </dataValidation>
  </dataValidations>
  <printOptions/>
  <pageMargins left="0.5" right="0.5" top="0.5" bottom="0.75" header="0.5" footer="0.5"/>
  <pageSetup horizontalDpi="300" verticalDpi="300" orientation="landscape" scale="75" r:id="rId3"/>
  <headerFooter alignWithMargins="0">
    <oddFooter>&amp;L&amp;F / &amp;A&amp;CPage &amp;P of &amp;N&amp;R&amp;D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bdees</dc:creator>
  <cp:keywords/>
  <dc:description/>
  <cp:lastModifiedBy>Jeff Wolford</cp:lastModifiedBy>
  <cp:lastPrinted>2007-11-08T22:17:21Z</cp:lastPrinted>
  <dcterms:created xsi:type="dcterms:W3CDTF">2006-09-14T21:21:31Z</dcterms:created>
  <dcterms:modified xsi:type="dcterms:W3CDTF">2007-11-08T22:17:44Z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